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19_Questionários\2025\Análise de dados\"/>
    </mc:Choice>
  </mc:AlternateContent>
  <xr:revisionPtr revIDLastSave="0" documentId="13_ncr:1_{B186B155-175B-40A0-B51B-7ADAB2DD191A}" xr6:coauthVersionLast="47" xr6:coauthVersionMax="47" xr10:uidLastSave="{00000000-0000-0000-0000-000000000000}"/>
  <bookViews>
    <workbookView xWindow="-120" yWindow="-120" windowWidth="29040" windowHeight="15720" activeTab="1" xr2:uid="{801D0261-9FE3-429E-AF89-FED331CD31B9}"/>
  </bookViews>
  <sheets>
    <sheet name="Dados Brutos - RSU" sheetId="2" r:id="rId1"/>
    <sheet name="Dados Brutos - Coop. e Associa." sheetId="3" r:id="rId2"/>
  </sheets>
  <definedNames>
    <definedName name="_xlnm._FilterDatabase" localSheetId="1" hidden="1">'Dados Brutos - Coop. e Associa.'!$A$1:$FB$502</definedName>
    <definedName name="_xlnm._FilterDatabase" localSheetId="0" hidden="1">'Dados Brutos - RSU'!$A$1:$DA$400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W502" i="3" l="1"/>
  <c r="AU502" i="3"/>
  <c r="AT502" i="3"/>
  <c r="BW501" i="3"/>
  <c r="AU501" i="3"/>
  <c r="AT501" i="3"/>
  <c r="BW500" i="3"/>
  <c r="AU500" i="3"/>
  <c r="AT500" i="3"/>
  <c r="BW499" i="3"/>
  <c r="AU499" i="3"/>
  <c r="AT499" i="3"/>
  <c r="BW498" i="3"/>
  <c r="AU498" i="3"/>
  <c r="AT498" i="3"/>
  <c r="BW497" i="3"/>
  <c r="BV497" i="3"/>
  <c r="BJ497" i="3"/>
  <c r="BI497" i="3"/>
  <c r="BH497" i="3"/>
  <c r="AV497" i="3"/>
  <c r="AU497" i="3" s="1"/>
  <c r="AT497" i="3"/>
  <c r="BW496" i="3"/>
  <c r="AU496" i="3"/>
  <c r="AT496" i="3"/>
  <c r="BW495" i="3"/>
  <c r="AU495" i="3"/>
  <c r="AT495" i="3"/>
  <c r="BW494" i="3"/>
  <c r="AU494" i="3"/>
  <c r="AT494" i="3"/>
  <c r="BW493" i="3"/>
  <c r="AU493" i="3"/>
  <c r="AT493" i="3"/>
  <c r="BW492" i="3"/>
  <c r="AU492" i="3"/>
  <c r="AT492" i="3"/>
  <c r="BW491" i="3"/>
  <c r="BV491" i="3"/>
  <c r="BD491" i="3"/>
  <c r="AU491" i="3"/>
  <c r="AT491" i="3"/>
  <c r="BU490" i="3"/>
  <c r="BT490" i="3"/>
  <c r="BS490" i="3"/>
  <c r="BR490" i="3"/>
  <c r="BQ490" i="3"/>
  <c r="BJ490" i="3"/>
  <c r="BI490" i="3"/>
  <c r="BH490" i="3"/>
  <c r="BD490" i="3"/>
  <c r="BA490" i="3"/>
  <c r="AZ490" i="3"/>
  <c r="AV490" i="3"/>
  <c r="AU490" i="3" s="1"/>
  <c r="AT490" i="3"/>
  <c r="BU489" i="3"/>
  <c r="BT489" i="3"/>
  <c r="BS489" i="3"/>
  <c r="BR489" i="3"/>
  <c r="BQ489" i="3"/>
  <c r="AV489" i="3"/>
  <c r="AU489" i="3" s="1"/>
  <c r="AT489" i="3"/>
  <c r="BW488" i="3"/>
  <c r="AU488" i="3"/>
  <c r="AT488" i="3"/>
  <c r="BW487" i="3"/>
  <c r="AU487" i="3"/>
  <c r="AT487" i="3"/>
  <c r="BW486" i="3"/>
  <c r="BV486" i="3"/>
  <c r="AU486" i="3"/>
  <c r="AT486" i="3"/>
  <c r="BW485" i="3"/>
  <c r="AU485" i="3"/>
  <c r="AT485" i="3"/>
  <c r="BW484" i="3"/>
  <c r="BV484" i="3"/>
  <c r="BH484" i="3"/>
  <c r="AZ484" i="3"/>
  <c r="AU484" i="3"/>
  <c r="AT484" i="3"/>
  <c r="BW483" i="3"/>
  <c r="AU483" i="3"/>
  <c r="AT483" i="3"/>
  <c r="BU482" i="3"/>
  <c r="BT482" i="3"/>
  <c r="BS482" i="3"/>
  <c r="BR482" i="3"/>
  <c r="BQ482" i="3"/>
  <c r="AV482" i="3"/>
  <c r="AU482" i="3" s="1"/>
  <c r="AT482" i="3"/>
  <c r="BW481" i="3"/>
  <c r="AU481" i="3"/>
  <c r="AT481" i="3"/>
  <c r="BW480" i="3"/>
  <c r="AU480" i="3"/>
  <c r="AT480" i="3"/>
  <c r="BW479" i="3"/>
  <c r="BJ479" i="3"/>
  <c r="BI479" i="3"/>
  <c r="BH479" i="3"/>
  <c r="BD479" i="3"/>
  <c r="AU479" i="3"/>
  <c r="AT479" i="3"/>
  <c r="BW478" i="3"/>
  <c r="AU478" i="3"/>
  <c r="AT478" i="3"/>
  <c r="BW477" i="3"/>
  <c r="BV477" i="3"/>
  <c r="AU477" i="3"/>
  <c r="AT477" i="3"/>
  <c r="BW476" i="3"/>
  <c r="BV476" i="3"/>
  <c r="AU476" i="3"/>
  <c r="AT476" i="3"/>
  <c r="BW475" i="3"/>
  <c r="BV475" i="3"/>
  <c r="BH475" i="3"/>
  <c r="AU475" i="3"/>
  <c r="AT475" i="3"/>
  <c r="BW474" i="3"/>
  <c r="AU474" i="3"/>
  <c r="AT474" i="3"/>
  <c r="BW473" i="3"/>
  <c r="AU473" i="3"/>
  <c r="AT473" i="3"/>
  <c r="BW472" i="3"/>
  <c r="AU472" i="3"/>
  <c r="AT472" i="3"/>
  <c r="BW471" i="3"/>
  <c r="AU471" i="3"/>
  <c r="AT471" i="3"/>
  <c r="BW470" i="3"/>
  <c r="AU470" i="3"/>
  <c r="AT470" i="3"/>
  <c r="BW469" i="3"/>
  <c r="AU469" i="3"/>
  <c r="AT469" i="3"/>
  <c r="BT468" i="3"/>
  <c r="BS468" i="3"/>
  <c r="BR468" i="3"/>
  <c r="BQ468" i="3"/>
  <c r="AU468" i="3"/>
  <c r="AT468" i="3"/>
  <c r="BW467" i="3"/>
  <c r="BV467" i="3"/>
  <c r="AU467" i="3"/>
  <c r="AT467" i="3"/>
  <c r="BU466" i="3"/>
  <c r="BT466" i="3"/>
  <c r="BS466" i="3"/>
  <c r="BR466" i="3"/>
  <c r="BQ466" i="3"/>
  <c r="BH466" i="3"/>
  <c r="AU466" i="3"/>
  <c r="AT466" i="3"/>
  <c r="BW465" i="3"/>
  <c r="BV465" i="3"/>
  <c r="BD465" i="3"/>
  <c r="BA465" i="3"/>
  <c r="AV465" i="3"/>
  <c r="AU465" i="3" s="1"/>
  <c r="AT465" i="3"/>
  <c r="BW464" i="3"/>
  <c r="AU464" i="3"/>
  <c r="AT464" i="3"/>
  <c r="BW463" i="3"/>
  <c r="AU463" i="3"/>
  <c r="AT463" i="3"/>
  <c r="BW462" i="3"/>
  <c r="BV462" i="3"/>
  <c r="BJ462" i="3"/>
  <c r="AU462" i="3"/>
  <c r="AT462" i="3"/>
  <c r="BW461" i="3"/>
  <c r="AU461" i="3"/>
  <c r="AT461" i="3"/>
  <c r="BW460" i="3"/>
  <c r="AU460" i="3"/>
  <c r="AT460" i="3"/>
  <c r="BW459" i="3"/>
  <c r="AU459" i="3"/>
  <c r="AT459" i="3"/>
  <c r="BW458" i="3"/>
  <c r="AU458" i="3"/>
  <c r="AT458" i="3"/>
  <c r="BW457" i="3"/>
  <c r="AU457" i="3"/>
  <c r="AT457" i="3"/>
  <c r="BW456" i="3"/>
  <c r="AZ456" i="3"/>
  <c r="AU456" i="3"/>
  <c r="AT456" i="3"/>
  <c r="BW455" i="3"/>
  <c r="AU455" i="3"/>
  <c r="AT455" i="3"/>
  <c r="BU454" i="3"/>
  <c r="BT454" i="3"/>
  <c r="BS454" i="3"/>
  <c r="BR454" i="3"/>
  <c r="BQ454" i="3"/>
  <c r="AU454" i="3"/>
  <c r="AT454" i="3"/>
  <c r="BW453" i="3"/>
  <c r="AU453" i="3"/>
  <c r="AT453" i="3"/>
  <c r="BW452" i="3"/>
  <c r="BV452" i="3"/>
  <c r="AU452" i="3"/>
  <c r="AT452" i="3"/>
  <c r="BW451" i="3"/>
  <c r="AU451" i="3"/>
  <c r="AT451" i="3"/>
  <c r="BV450" i="3"/>
  <c r="BU450" i="3"/>
  <c r="BT450" i="3"/>
  <c r="BR450" i="3"/>
  <c r="BQ450" i="3"/>
  <c r="AU450" i="3"/>
  <c r="AT450" i="3"/>
  <c r="BW449" i="3"/>
  <c r="AU449" i="3"/>
  <c r="AT449" i="3"/>
  <c r="BW448" i="3"/>
  <c r="AU448" i="3"/>
  <c r="AT448" i="3"/>
  <c r="BW447" i="3"/>
  <c r="AU447" i="3"/>
  <c r="AT447" i="3"/>
  <c r="BW446" i="3"/>
  <c r="AU446" i="3"/>
  <c r="AT446" i="3"/>
  <c r="BS445" i="3"/>
  <c r="BR445" i="3"/>
  <c r="BQ445" i="3"/>
  <c r="BJ445" i="3"/>
  <c r="AU445" i="3"/>
  <c r="AT445" i="3"/>
  <c r="BW444" i="3"/>
  <c r="AU444" i="3"/>
  <c r="AT444" i="3"/>
  <c r="BW443" i="3"/>
  <c r="AU443" i="3"/>
  <c r="AT443" i="3"/>
  <c r="BW442" i="3"/>
  <c r="AU442" i="3"/>
  <c r="AT442" i="3"/>
  <c r="BW441" i="3"/>
  <c r="AU441" i="3"/>
  <c r="AT441" i="3"/>
  <c r="BT440" i="3"/>
  <c r="BS440" i="3"/>
  <c r="BR440" i="3"/>
  <c r="BQ440" i="3"/>
  <c r="AU440" i="3"/>
  <c r="AT440" i="3"/>
  <c r="BW439" i="3"/>
  <c r="BH439" i="3"/>
  <c r="AU439" i="3"/>
  <c r="AT439" i="3"/>
  <c r="BW438" i="3"/>
  <c r="AU438" i="3"/>
  <c r="AT438" i="3"/>
  <c r="BW437" i="3"/>
  <c r="BV437" i="3"/>
  <c r="AV437" i="3"/>
  <c r="AU437" i="3" s="1"/>
  <c r="AT437" i="3"/>
  <c r="BW436" i="3"/>
  <c r="AU436" i="3"/>
  <c r="AT436" i="3"/>
  <c r="BW435" i="3"/>
  <c r="AU435" i="3"/>
  <c r="AT435" i="3"/>
  <c r="BW434" i="3"/>
  <c r="BV434" i="3"/>
  <c r="AU434" i="3"/>
  <c r="AT434" i="3"/>
  <c r="BW433" i="3"/>
  <c r="AU433" i="3"/>
  <c r="AT433" i="3"/>
  <c r="BW432" i="3"/>
  <c r="AU432" i="3"/>
  <c r="AT432" i="3"/>
  <c r="BW431" i="3"/>
  <c r="BV431" i="3"/>
  <c r="AU431" i="3"/>
  <c r="AT431" i="3"/>
  <c r="BQ430" i="3"/>
  <c r="BW430" i="3" s="1"/>
  <c r="AU430" i="3"/>
  <c r="AT430" i="3"/>
  <c r="BW429" i="3"/>
  <c r="BV429" i="3"/>
  <c r="BD429" i="3"/>
  <c r="BA429" i="3"/>
  <c r="AU429" i="3"/>
  <c r="AT429" i="3"/>
  <c r="BW428" i="3"/>
  <c r="AU428" i="3"/>
  <c r="AT428" i="3"/>
  <c r="BW427" i="3"/>
  <c r="AU427" i="3"/>
  <c r="AT427" i="3"/>
  <c r="BW426" i="3"/>
  <c r="AU426" i="3"/>
  <c r="AT426" i="3"/>
  <c r="BW425" i="3"/>
  <c r="BV425" i="3"/>
  <c r="BJ425" i="3"/>
  <c r="BI425" i="3"/>
  <c r="BH425" i="3"/>
  <c r="AU425" i="3"/>
  <c r="AT425" i="3"/>
  <c r="BW424" i="3"/>
  <c r="AU424" i="3"/>
  <c r="AT424" i="3"/>
  <c r="BW423" i="3"/>
  <c r="AU423" i="3"/>
  <c r="AT423" i="3"/>
  <c r="BW422" i="3"/>
  <c r="AU422" i="3"/>
  <c r="AT422" i="3"/>
  <c r="BW421" i="3"/>
  <c r="AU421" i="3"/>
  <c r="AT421" i="3"/>
  <c r="BW420" i="3"/>
  <c r="AU420" i="3"/>
  <c r="AT420" i="3"/>
  <c r="BW419" i="3"/>
  <c r="AU419" i="3"/>
  <c r="AT419" i="3"/>
  <c r="BW418" i="3"/>
  <c r="BV418" i="3"/>
  <c r="AU418" i="3"/>
  <c r="AT418" i="3"/>
  <c r="BW417" i="3"/>
  <c r="AU417" i="3"/>
  <c r="AT417" i="3"/>
  <c r="BW416" i="3"/>
  <c r="AU416" i="3"/>
  <c r="AT416" i="3"/>
  <c r="BW415" i="3"/>
  <c r="AU415" i="3"/>
  <c r="AT415" i="3"/>
  <c r="BW414" i="3"/>
  <c r="BD414" i="3"/>
  <c r="AU414" i="3"/>
  <c r="AT414" i="3"/>
  <c r="BW413" i="3"/>
  <c r="AU413" i="3"/>
  <c r="AT413" i="3"/>
  <c r="BW412" i="3"/>
  <c r="BV412" i="3"/>
  <c r="AV412" i="3"/>
  <c r="AU412" i="3" s="1"/>
  <c r="AT412" i="3"/>
  <c r="BW411" i="3"/>
  <c r="AU411" i="3"/>
  <c r="AT411" i="3"/>
  <c r="BW410" i="3"/>
  <c r="AU410" i="3"/>
  <c r="AT410" i="3"/>
  <c r="BW409" i="3"/>
  <c r="AU409" i="3"/>
  <c r="AT409" i="3"/>
  <c r="BW408" i="3"/>
  <c r="AU408" i="3"/>
  <c r="AT408" i="3"/>
  <c r="BW407" i="3"/>
  <c r="AU407" i="3"/>
  <c r="AT407" i="3"/>
  <c r="BW406" i="3"/>
  <c r="AU406" i="3"/>
  <c r="AT406" i="3"/>
  <c r="BW405" i="3"/>
  <c r="AU405" i="3"/>
  <c r="AT405" i="3"/>
  <c r="BW404" i="3"/>
  <c r="BV404" i="3"/>
  <c r="AU404" i="3"/>
  <c r="AT404" i="3"/>
  <c r="BW403" i="3"/>
  <c r="AU403" i="3"/>
  <c r="AT403" i="3"/>
  <c r="BW402" i="3"/>
  <c r="BV402" i="3"/>
  <c r="AU402" i="3"/>
  <c r="AT402" i="3"/>
  <c r="BW401" i="3"/>
  <c r="BV401" i="3"/>
  <c r="AU401" i="3"/>
  <c r="AT401" i="3"/>
  <c r="BW400" i="3"/>
  <c r="AU400" i="3"/>
  <c r="AT400" i="3"/>
  <c r="BW399" i="3"/>
  <c r="AU399" i="3"/>
  <c r="AT399" i="3"/>
  <c r="BW398" i="3"/>
  <c r="BD398" i="3"/>
  <c r="AZ398" i="3"/>
  <c r="AU398" i="3"/>
  <c r="AT398" i="3"/>
  <c r="BW397" i="3"/>
  <c r="AV397" i="3"/>
  <c r="AU397" i="3" s="1"/>
  <c r="AT397" i="3"/>
  <c r="BW396" i="3"/>
  <c r="AU396" i="3"/>
  <c r="AT396" i="3"/>
  <c r="BU395" i="3"/>
  <c r="BT395" i="3"/>
  <c r="BS395" i="3"/>
  <c r="BR395" i="3"/>
  <c r="BQ395" i="3"/>
  <c r="AV395" i="3"/>
  <c r="AU395" i="3" s="1"/>
  <c r="AT395" i="3"/>
  <c r="BW394" i="3"/>
  <c r="AU394" i="3"/>
  <c r="AT394" i="3"/>
  <c r="BW393" i="3"/>
  <c r="BA393" i="3"/>
  <c r="AU393" i="3"/>
  <c r="AT393" i="3"/>
  <c r="BW392" i="3"/>
  <c r="BV392" i="3"/>
  <c r="AU392" i="3"/>
  <c r="AT392" i="3"/>
  <c r="BW391" i="3"/>
  <c r="BV391" i="3"/>
  <c r="BD391" i="3"/>
  <c r="AU391" i="3"/>
  <c r="AT391" i="3"/>
  <c r="BW390" i="3"/>
  <c r="AU390" i="3"/>
  <c r="AT390" i="3"/>
  <c r="BW389" i="3"/>
  <c r="BJ389" i="3"/>
  <c r="BI389" i="3"/>
  <c r="BH389" i="3"/>
  <c r="AU389" i="3"/>
  <c r="AT389" i="3"/>
  <c r="BW388" i="3"/>
  <c r="AU388" i="3"/>
  <c r="AT388" i="3"/>
  <c r="BW387" i="3"/>
  <c r="AU387" i="3"/>
  <c r="AT387" i="3"/>
  <c r="BT386" i="3"/>
  <c r="BS386" i="3"/>
  <c r="BR386" i="3"/>
  <c r="BQ386" i="3"/>
  <c r="AV386" i="3"/>
  <c r="AU386" i="3" s="1"/>
  <c r="AT386" i="3"/>
  <c r="BW385" i="3"/>
  <c r="AU385" i="3"/>
  <c r="AT385" i="3"/>
  <c r="BW384" i="3"/>
  <c r="AU384" i="3"/>
  <c r="AT384" i="3"/>
  <c r="BW383" i="3"/>
  <c r="AU383" i="3"/>
  <c r="AT383" i="3"/>
  <c r="BU382" i="3"/>
  <c r="BT382" i="3"/>
  <c r="BS382" i="3"/>
  <c r="BR382" i="3"/>
  <c r="BQ382" i="3"/>
  <c r="BD382" i="3"/>
  <c r="AV382" i="3"/>
  <c r="AU382" i="3" s="1"/>
  <c r="AT382" i="3"/>
  <c r="BW381" i="3"/>
  <c r="AU381" i="3"/>
  <c r="AT381" i="3"/>
  <c r="BW380" i="3"/>
  <c r="BD380" i="3"/>
  <c r="AV380" i="3"/>
  <c r="AU380" i="3"/>
  <c r="AT380" i="3"/>
  <c r="BW379" i="3"/>
  <c r="AU379" i="3"/>
  <c r="AT379" i="3"/>
  <c r="BU378" i="3"/>
  <c r="BT378" i="3"/>
  <c r="BS378" i="3"/>
  <c r="BR378" i="3"/>
  <c r="BQ378" i="3"/>
  <c r="AU378" i="3"/>
  <c r="AT378" i="3"/>
  <c r="BW377" i="3"/>
  <c r="AU377" i="3"/>
  <c r="AT377" i="3"/>
  <c r="BW376" i="3"/>
  <c r="BI376" i="3"/>
  <c r="AU376" i="3"/>
  <c r="AT376" i="3"/>
  <c r="BV375" i="3"/>
  <c r="BS375" i="3"/>
  <c r="BR375" i="3"/>
  <c r="BQ375" i="3"/>
  <c r="AV375" i="3"/>
  <c r="AU375" i="3" s="1"/>
  <c r="AT375" i="3"/>
  <c r="BV374" i="3"/>
  <c r="BT374" i="3"/>
  <c r="BS374" i="3"/>
  <c r="BR374" i="3"/>
  <c r="BQ374" i="3"/>
  <c r="AU374" i="3"/>
  <c r="AT374" i="3"/>
  <c r="BV373" i="3"/>
  <c r="BU373" i="3"/>
  <c r="BS373" i="3"/>
  <c r="BR373" i="3"/>
  <c r="BQ373" i="3"/>
  <c r="AU373" i="3"/>
  <c r="AT373" i="3"/>
  <c r="BW372" i="3"/>
  <c r="AU372" i="3"/>
  <c r="AT372" i="3"/>
  <c r="BW371" i="3"/>
  <c r="AU371" i="3"/>
  <c r="AT371" i="3"/>
  <c r="BW370" i="3"/>
  <c r="AU370" i="3"/>
  <c r="AT370" i="3"/>
  <c r="BU369" i="3"/>
  <c r="BT369" i="3"/>
  <c r="BR369" i="3"/>
  <c r="BQ369" i="3"/>
  <c r="BD369" i="3"/>
  <c r="AV369" i="3"/>
  <c r="AU369" i="3" s="1"/>
  <c r="AT369" i="3"/>
  <c r="BU368" i="3"/>
  <c r="BT368" i="3"/>
  <c r="BS368" i="3"/>
  <c r="BR368" i="3"/>
  <c r="BQ368" i="3"/>
  <c r="AU368" i="3"/>
  <c r="AT368" i="3"/>
  <c r="BW367" i="3"/>
  <c r="BV367" i="3"/>
  <c r="AZ367" i="3"/>
  <c r="AU367" i="3"/>
  <c r="AT367" i="3"/>
  <c r="BW366" i="3"/>
  <c r="AU366" i="3"/>
  <c r="AT366" i="3"/>
  <c r="BW365" i="3"/>
  <c r="BV365" i="3"/>
  <c r="AU365" i="3"/>
  <c r="AT365" i="3"/>
  <c r="BW364" i="3"/>
  <c r="AU364" i="3"/>
  <c r="AT364" i="3"/>
  <c r="BW363" i="3"/>
  <c r="AU363" i="3"/>
  <c r="AT363" i="3"/>
  <c r="BW362" i="3"/>
  <c r="AU362" i="3"/>
  <c r="AT362" i="3"/>
  <c r="BW361" i="3"/>
  <c r="BV361" i="3"/>
  <c r="AU361" i="3"/>
  <c r="AT361" i="3"/>
  <c r="BW360" i="3"/>
  <c r="AU360" i="3"/>
  <c r="AT360" i="3"/>
  <c r="BW359" i="3"/>
  <c r="AU359" i="3"/>
  <c r="AT359" i="3"/>
  <c r="BW358" i="3"/>
  <c r="AU358" i="3"/>
  <c r="AT358" i="3"/>
  <c r="BW357" i="3"/>
  <c r="AU357" i="3"/>
  <c r="AT357" i="3"/>
  <c r="BW356" i="3"/>
  <c r="AU356" i="3"/>
  <c r="AT356" i="3"/>
  <c r="BW355" i="3"/>
  <c r="AU355" i="3"/>
  <c r="AT355" i="3"/>
  <c r="BW354" i="3"/>
  <c r="AU354" i="3"/>
  <c r="AT354" i="3"/>
  <c r="BW353" i="3"/>
  <c r="BV353" i="3"/>
  <c r="AU353" i="3"/>
  <c r="AT353" i="3"/>
  <c r="BW352" i="3"/>
  <c r="BV352" i="3"/>
  <c r="BD352" i="3"/>
  <c r="AU352" i="3"/>
  <c r="AT352" i="3"/>
  <c r="BW351" i="3"/>
  <c r="BV351" i="3"/>
  <c r="AU351" i="3"/>
  <c r="AT351" i="3"/>
  <c r="BW350" i="3"/>
  <c r="BV350" i="3"/>
  <c r="BD350" i="3"/>
  <c r="AU350" i="3"/>
  <c r="AT350" i="3"/>
  <c r="BW349" i="3"/>
  <c r="BV349" i="3"/>
  <c r="BD349" i="3"/>
  <c r="AU349" i="3"/>
  <c r="AT349" i="3"/>
  <c r="BW348" i="3"/>
  <c r="BV348" i="3"/>
  <c r="AU348" i="3"/>
  <c r="AT348" i="3"/>
  <c r="BQ347" i="3"/>
  <c r="BW347" i="3" s="1"/>
  <c r="AU347" i="3"/>
  <c r="AT347" i="3"/>
  <c r="BW346" i="3"/>
  <c r="BV346" i="3"/>
  <c r="BD346" i="3"/>
  <c r="AU346" i="3"/>
  <c r="AT346" i="3"/>
  <c r="BU345" i="3"/>
  <c r="BT345" i="3"/>
  <c r="BS345" i="3"/>
  <c r="BR345" i="3"/>
  <c r="BQ345" i="3"/>
  <c r="AV345" i="3"/>
  <c r="AU345" i="3" s="1"/>
  <c r="AT345" i="3"/>
  <c r="BW344" i="3"/>
  <c r="AU344" i="3"/>
  <c r="AT344" i="3"/>
  <c r="BW343" i="3"/>
  <c r="AU343" i="3"/>
  <c r="AT343" i="3"/>
  <c r="BS342" i="3"/>
  <c r="BR342" i="3"/>
  <c r="BQ342" i="3"/>
  <c r="AU342" i="3"/>
  <c r="AT342" i="3"/>
  <c r="BW341" i="3"/>
  <c r="BD341" i="3"/>
  <c r="AU341" i="3"/>
  <c r="AT341" i="3"/>
  <c r="BW340" i="3"/>
  <c r="AU340" i="3"/>
  <c r="AT340" i="3"/>
  <c r="BW339" i="3"/>
  <c r="BV339" i="3"/>
  <c r="AU339" i="3"/>
  <c r="AT339" i="3"/>
  <c r="BR338" i="3"/>
  <c r="BQ338" i="3"/>
  <c r="AU338" i="3"/>
  <c r="AT338" i="3"/>
  <c r="BW337" i="3"/>
  <c r="BV337" i="3"/>
  <c r="AU337" i="3"/>
  <c r="AT337" i="3"/>
  <c r="BU336" i="3"/>
  <c r="BT336" i="3"/>
  <c r="BS336" i="3"/>
  <c r="BJ336" i="3"/>
  <c r="BI336" i="3"/>
  <c r="BH336" i="3"/>
  <c r="AU336" i="3"/>
  <c r="AT336" i="3"/>
  <c r="BW335" i="3"/>
  <c r="AU335" i="3"/>
  <c r="AT335" i="3"/>
  <c r="BW334" i="3"/>
  <c r="AU334" i="3"/>
  <c r="AT334" i="3"/>
  <c r="BW333" i="3"/>
  <c r="AU333" i="3"/>
  <c r="AT333" i="3"/>
  <c r="BW332" i="3"/>
  <c r="AU332" i="3"/>
  <c r="AT332" i="3"/>
  <c r="BW331" i="3"/>
  <c r="AU331" i="3"/>
  <c r="AT331" i="3"/>
  <c r="BW330" i="3"/>
  <c r="AU330" i="3"/>
  <c r="AT330" i="3"/>
  <c r="BW329" i="3"/>
  <c r="AU329" i="3"/>
  <c r="AT329" i="3"/>
  <c r="BW328" i="3"/>
  <c r="AU328" i="3"/>
  <c r="AT328" i="3"/>
  <c r="BW327" i="3"/>
  <c r="BV327" i="3"/>
  <c r="AU327" i="3"/>
  <c r="AT327" i="3"/>
  <c r="BW326" i="3"/>
  <c r="AU326" i="3"/>
  <c r="AT326" i="3"/>
  <c r="BW325" i="3"/>
  <c r="BV325" i="3"/>
  <c r="BD325" i="3"/>
  <c r="AZ325" i="3"/>
  <c r="AU325" i="3"/>
  <c r="AT325" i="3"/>
  <c r="BW324" i="3"/>
  <c r="AU324" i="3"/>
  <c r="AT324" i="3"/>
  <c r="BW323" i="3"/>
  <c r="BV323" i="3"/>
  <c r="BD323" i="3"/>
  <c r="AZ323" i="3"/>
  <c r="AU323" i="3"/>
  <c r="AT323" i="3"/>
  <c r="BW322" i="3"/>
  <c r="AU322" i="3"/>
  <c r="AT322" i="3"/>
  <c r="BR321" i="3"/>
  <c r="BW321" i="3" s="1"/>
  <c r="AU321" i="3"/>
  <c r="AT321" i="3"/>
  <c r="BW320" i="3"/>
  <c r="BV320" i="3"/>
  <c r="BD320" i="3"/>
  <c r="AU320" i="3"/>
  <c r="AT320" i="3"/>
  <c r="BW319" i="3"/>
  <c r="BV319" i="3"/>
  <c r="AU319" i="3"/>
  <c r="AT319" i="3"/>
  <c r="BW318" i="3"/>
  <c r="BV318" i="3"/>
  <c r="AU318" i="3"/>
  <c r="AT318" i="3"/>
  <c r="BW317" i="3"/>
  <c r="AU317" i="3"/>
  <c r="AT317" i="3"/>
  <c r="BW316" i="3"/>
  <c r="AU316" i="3"/>
  <c r="AT316" i="3"/>
  <c r="BW315" i="3"/>
  <c r="BV315" i="3"/>
  <c r="BH315" i="3"/>
  <c r="AZ315" i="3"/>
  <c r="AU315" i="3"/>
  <c r="AT315" i="3"/>
  <c r="BW314" i="3"/>
  <c r="BV314" i="3"/>
  <c r="AZ314" i="3"/>
  <c r="AU314" i="3"/>
  <c r="AT314" i="3"/>
  <c r="BW313" i="3"/>
  <c r="BV313" i="3"/>
  <c r="AU313" i="3"/>
  <c r="AT313" i="3"/>
  <c r="BW312" i="3"/>
  <c r="BV312" i="3"/>
  <c r="AU312" i="3"/>
  <c r="AT312" i="3"/>
  <c r="BW311" i="3"/>
  <c r="BV311" i="3"/>
  <c r="AU311" i="3"/>
  <c r="AT311" i="3"/>
  <c r="BW310" i="3"/>
  <c r="BV310" i="3"/>
  <c r="AU310" i="3"/>
  <c r="AT310" i="3"/>
  <c r="BW309" i="3"/>
  <c r="AZ309" i="3"/>
  <c r="AU309" i="3"/>
  <c r="AT309" i="3"/>
  <c r="BW308" i="3"/>
  <c r="AU308" i="3"/>
  <c r="AT308" i="3"/>
  <c r="BW307" i="3"/>
  <c r="AU307" i="3"/>
  <c r="AT307" i="3"/>
  <c r="BW306" i="3"/>
  <c r="AU306" i="3"/>
  <c r="AT306" i="3"/>
  <c r="BW305" i="3"/>
  <c r="AU305" i="3"/>
  <c r="AT305" i="3"/>
  <c r="BW304" i="3"/>
  <c r="AU304" i="3"/>
  <c r="AT304" i="3"/>
  <c r="BW303" i="3"/>
  <c r="AU303" i="3"/>
  <c r="AT303" i="3"/>
  <c r="BW302" i="3"/>
  <c r="AU302" i="3"/>
  <c r="AT302" i="3"/>
  <c r="BW301" i="3"/>
  <c r="AU301" i="3"/>
  <c r="AT301" i="3"/>
  <c r="BW300" i="3"/>
  <c r="AU300" i="3"/>
  <c r="AT300" i="3"/>
  <c r="BW299" i="3"/>
  <c r="AU299" i="3"/>
  <c r="AT299" i="3"/>
  <c r="BW298" i="3"/>
  <c r="AU298" i="3"/>
  <c r="AT298" i="3"/>
  <c r="BW297" i="3"/>
  <c r="AU297" i="3"/>
  <c r="AT297" i="3"/>
  <c r="BV296" i="3"/>
  <c r="BU296" i="3"/>
  <c r="BT296" i="3"/>
  <c r="BS296" i="3"/>
  <c r="BR296" i="3"/>
  <c r="BQ296" i="3"/>
  <c r="AV296" i="3"/>
  <c r="AU296" i="3" s="1"/>
  <c r="AT296" i="3"/>
  <c r="BW295" i="3"/>
  <c r="BV295" i="3"/>
  <c r="AU295" i="3"/>
  <c r="AT295" i="3"/>
  <c r="BW294" i="3"/>
  <c r="AU294" i="3"/>
  <c r="AT294" i="3"/>
  <c r="BW293" i="3"/>
  <c r="AU293" i="3"/>
  <c r="AT293" i="3"/>
  <c r="BW292" i="3"/>
  <c r="AU292" i="3"/>
  <c r="AT292" i="3"/>
  <c r="BW291" i="3"/>
  <c r="AU291" i="3"/>
  <c r="AT291" i="3"/>
  <c r="BW290" i="3"/>
  <c r="AU290" i="3"/>
  <c r="AT290" i="3"/>
  <c r="BW289" i="3"/>
  <c r="AU289" i="3"/>
  <c r="AT289" i="3"/>
  <c r="BW288" i="3"/>
  <c r="BV288" i="3"/>
  <c r="AV288" i="3"/>
  <c r="AU288" i="3" s="1"/>
  <c r="AT288" i="3"/>
  <c r="BW287" i="3"/>
  <c r="AU287" i="3"/>
  <c r="AT287" i="3"/>
  <c r="BW286" i="3"/>
  <c r="BD286" i="3"/>
  <c r="AU286" i="3"/>
  <c r="AT286" i="3"/>
  <c r="BW285" i="3"/>
  <c r="AU285" i="3"/>
  <c r="AT285" i="3"/>
  <c r="BW284" i="3"/>
  <c r="AU284" i="3"/>
  <c r="AT284" i="3"/>
  <c r="BW283" i="3"/>
  <c r="AU283" i="3"/>
  <c r="AT283" i="3"/>
  <c r="BW282" i="3"/>
  <c r="AU282" i="3"/>
  <c r="AT282" i="3"/>
  <c r="BU281" i="3"/>
  <c r="BT281" i="3"/>
  <c r="BS281" i="3"/>
  <c r="BR281" i="3"/>
  <c r="BQ281" i="3"/>
  <c r="BD281" i="3"/>
  <c r="AU281" i="3"/>
  <c r="AT281" i="3"/>
  <c r="BW280" i="3"/>
  <c r="AU280" i="3"/>
  <c r="AT280" i="3"/>
  <c r="BU279" i="3"/>
  <c r="BT279" i="3"/>
  <c r="BR279" i="3"/>
  <c r="BQ279" i="3"/>
  <c r="AU279" i="3"/>
  <c r="AT279" i="3"/>
  <c r="BW278" i="3"/>
  <c r="BV278" i="3"/>
  <c r="BJ278" i="3"/>
  <c r="BI278" i="3"/>
  <c r="BH278" i="3"/>
  <c r="BD278" i="3"/>
  <c r="AU278" i="3"/>
  <c r="AT278" i="3"/>
  <c r="BW277" i="3"/>
  <c r="BV277" i="3"/>
  <c r="BD277" i="3"/>
  <c r="AU277" i="3"/>
  <c r="AT277" i="3"/>
  <c r="BW276" i="3"/>
  <c r="BV276" i="3"/>
  <c r="AU276" i="3"/>
  <c r="AT276" i="3"/>
  <c r="BW275" i="3"/>
  <c r="BV275" i="3"/>
  <c r="BH275" i="3"/>
  <c r="AU275" i="3"/>
  <c r="AT275" i="3"/>
  <c r="BW274" i="3"/>
  <c r="BV274" i="3"/>
  <c r="AU274" i="3"/>
  <c r="AT274" i="3"/>
  <c r="BW273" i="3"/>
  <c r="BV273" i="3"/>
  <c r="BH273" i="3"/>
  <c r="AU273" i="3"/>
  <c r="AT273" i="3"/>
  <c r="BW272" i="3"/>
  <c r="AU272" i="3"/>
  <c r="AT272" i="3"/>
  <c r="BW271" i="3"/>
  <c r="BV271" i="3"/>
  <c r="AU271" i="3"/>
  <c r="AT271" i="3"/>
  <c r="BV270" i="3"/>
  <c r="BU270" i="3"/>
  <c r="BT270" i="3"/>
  <c r="BS270" i="3"/>
  <c r="BR270" i="3"/>
  <c r="BQ270" i="3"/>
  <c r="AU270" i="3"/>
  <c r="AT270" i="3"/>
  <c r="BX269" i="3"/>
  <c r="BW269" i="3"/>
  <c r="AU269" i="3"/>
  <c r="AT269" i="3"/>
  <c r="BW268" i="3"/>
  <c r="BV268" i="3"/>
  <c r="AU268" i="3"/>
  <c r="AT268" i="3"/>
  <c r="BW267" i="3"/>
  <c r="AU267" i="3"/>
  <c r="AT267" i="3"/>
  <c r="BV266" i="3"/>
  <c r="BT266" i="3"/>
  <c r="BS266" i="3"/>
  <c r="BR266" i="3"/>
  <c r="BJ266" i="3"/>
  <c r="BI266" i="3"/>
  <c r="AU266" i="3"/>
  <c r="AT266" i="3"/>
  <c r="BW265" i="3"/>
  <c r="AU265" i="3"/>
  <c r="AT265" i="3"/>
  <c r="BW264" i="3"/>
  <c r="AU264" i="3"/>
  <c r="AT264" i="3"/>
  <c r="BW263" i="3"/>
  <c r="AU263" i="3"/>
  <c r="AT263" i="3"/>
  <c r="BW262" i="3"/>
  <c r="BA262" i="3"/>
  <c r="AU262" i="3"/>
  <c r="AT262" i="3"/>
  <c r="BW261" i="3"/>
  <c r="AU261" i="3"/>
  <c r="AT261" i="3"/>
  <c r="BU260" i="3"/>
  <c r="BT260" i="3"/>
  <c r="BS260" i="3"/>
  <c r="BR260" i="3"/>
  <c r="BQ260" i="3"/>
  <c r="AU260" i="3"/>
  <c r="AT260" i="3"/>
  <c r="BW259" i="3"/>
  <c r="AZ259" i="3"/>
  <c r="AU259" i="3"/>
  <c r="AT259" i="3"/>
  <c r="BW258" i="3"/>
  <c r="AZ258" i="3"/>
  <c r="AU258" i="3"/>
  <c r="AT258" i="3"/>
  <c r="BW257" i="3"/>
  <c r="AU257" i="3"/>
  <c r="AT257" i="3"/>
  <c r="BW256" i="3"/>
  <c r="AU256" i="3"/>
  <c r="AT256" i="3"/>
  <c r="BW255" i="3"/>
  <c r="AU255" i="3"/>
  <c r="AT255" i="3"/>
  <c r="BW254" i="3"/>
  <c r="AU254" i="3"/>
  <c r="AT254" i="3"/>
  <c r="BW253" i="3"/>
  <c r="AU253" i="3"/>
  <c r="AT253" i="3"/>
  <c r="BW252" i="3"/>
  <c r="AU252" i="3"/>
  <c r="AT252" i="3"/>
  <c r="BW251" i="3"/>
  <c r="BV251" i="3"/>
  <c r="AU251" i="3"/>
  <c r="AT251" i="3"/>
  <c r="BW250" i="3"/>
  <c r="BV250" i="3"/>
  <c r="BJ250" i="3"/>
  <c r="BI250" i="3"/>
  <c r="BH250" i="3"/>
  <c r="BD250" i="3"/>
  <c r="AU250" i="3"/>
  <c r="AT250" i="3"/>
  <c r="BW249" i="3"/>
  <c r="BV249" i="3"/>
  <c r="AU249" i="3"/>
  <c r="AT249" i="3"/>
  <c r="BW248" i="3"/>
  <c r="BV248" i="3"/>
  <c r="BD248" i="3"/>
  <c r="AZ248" i="3"/>
  <c r="AU248" i="3"/>
  <c r="AT248" i="3"/>
  <c r="BW247" i="3"/>
  <c r="AU247" i="3"/>
  <c r="AT247" i="3"/>
  <c r="BW246" i="3"/>
  <c r="AU246" i="3"/>
  <c r="AT246" i="3"/>
  <c r="BW245" i="3"/>
  <c r="AU245" i="3"/>
  <c r="AT245" i="3"/>
  <c r="BW244" i="3"/>
  <c r="AU244" i="3"/>
  <c r="AT244" i="3"/>
  <c r="BW243" i="3"/>
  <c r="AU243" i="3"/>
  <c r="AT243" i="3"/>
  <c r="BW242" i="3"/>
  <c r="BD242" i="3"/>
  <c r="AU242" i="3"/>
  <c r="AT242" i="3"/>
  <c r="BW241" i="3"/>
  <c r="AU241" i="3"/>
  <c r="AT241" i="3"/>
  <c r="BW240" i="3"/>
  <c r="AU240" i="3"/>
  <c r="AT240" i="3"/>
  <c r="BW239" i="3"/>
  <c r="AU239" i="3"/>
  <c r="AT239" i="3"/>
  <c r="BW238" i="3"/>
  <c r="AU238" i="3"/>
  <c r="AT238" i="3"/>
  <c r="BW237" i="3"/>
  <c r="AU237" i="3"/>
  <c r="AT237" i="3"/>
  <c r="BW236" i="3"/>
  <c r="AU236" i="3"/>
  <c r="AT236" i="3"/>
  <c r="BW235" i="3"/>
  <c r="BJ235" i="3"/>
  <c r="BI235" i="3"/>
  <c r="BH235" i="3"/>
  <c r="BD235" i="3"/>
  <c r="BA235" i="3"/>
  <c r="AZ235" i="3"/>
  <c r="AU235" i="3"/>
  <c r="AT235" i="3"/>
  <c r="BW234" i="3"/>
  <c r="AU234" i="3"/>
  <c r="AT234" i="3"/>
  <c r="BW233" i="3"/>
  <c r="AU233" i="3"/>
  <c r="AT233" i="3"/>
  <c r="BT232" i="3"/>
  <c r="BS232" i="3"/>
  <c r="BR232" i="3"/>
  <c r="BQ232" i="3"/>
  <c r="AU232" i="3"/>
  <c r="AT232" i="3"/>
  <c r="BW231" i="3"/>
  <c r="AU231" i="3"/>
  <c r="AT231" i="3"/>
  <c r="BW230" i="3"/>
  <c r="BH230" i="3"/>
  <c r="AU230" i="3"/>
  <c r="AT230" i="3"/>
  <c r="BW229" i="3"/>
  <c r="AU229" i="3"/>
  <c r="AT229" i="3"/>
  <c r="BW228" i="3"/>
  <c r="AU228" i="3"/>
  <c r="AT228" i="3"/>
  <c r="BW227" i="3"/>
  <c r="AU227" i="3"/>
  <c r="AT227" i="3"/>
  <c r="BU226" i="3"/>
  <c r="BT226" i="3"/>
  <c r="BS226" i="3"/>
  <c r="BR226" i="3"/>
  <c r="BQ226" i="3"/>
  <c r="BA226" i="3"/>
  <c r="AU226" i="3"/>
  <c r="AT226" i="3"/>
  <c r="BW225" i="3"/>
  <c r="AU225" i="3"/>
  <c r="AT225" i="3"/>
  <c r="BW224" i="3"/>
  <c r="AU224" i="3"/>
  <c r="AT224" i="3"/>
  <c r="BW223" i="3"/>
  <c r="AU223" i="3"/>
  <c r="AT223" i="3"/>
  <c r="BW222" i="3"/>
  <c r="BV222" i="3"/>
  <c r="AU222" i="3"/>
  <c r="AT222" i="3"/>
  <c r="BW221" i="3"/>
  <c r="BV221" i="3"/>
  <c r="AU221" i="3"/>
  <c r="AT221" i="3"/>
  <c r="BW220" i="3"/>
  <c r="AU220" i="3"/>
  <c r="AT220" i="3"/>
  <c r="BW219" i="3"/>
  <c r="AU219" i="3"/>
  <c r="AT219" i="3"/>
  <c r="BU218" i="3"/>
  <c r="BT218" i="3"/>
  <c r="BS218" i="3"/>
  <c r="BR218" i="3"/>
  <c r="BQ218" i="3"/>
  <c r="AV218" i="3"/>
  <c r="AU218" i="3" s="1"/>
  <c r="AT218" i="3"/>
  <c r="BW217" i="3"/>
  <c r="AU217" i="3"/>
  <c r="AT217" i="3"/>
  <c r="BW216" i="3"/>
  <c r="AU216" i="3"/>
  <c r="AT216" i="3"/>
  <c r="BW215" i="3"/>
  <c r="BI215" i="3"/>
  <c r="BH215" i="3"/>
  <c r="AU215" i="3"/>
  <c r="AT215" i="3"/>
  <c r="BW214" i="3"/>
  <c r="AU214" i="3"/>
  <c r="AT214" i="3"/>
  <c r="BU213" i="3"/>
  <c r="BT213" i="3"/>
  <c r="BS213" i="3"/>
  <c r="BR213" i="3"/>
  <c r="BQ213" i="3"/>
  <c r="BH213" i="3"/>
  <c r="AW213" i="3"/>
  <c r="AV213" i="3"/>
  <c r="AT213" i="3"/>
  <c r="BV212" i="3"/>
  <c r="BT212" i="3"/>
  <c r="BS212" i="3"/>
  <c r="BR212" i="3"/>
  <c r="BQ212" i="3"/>
  <c r="AU212" i="3"/>
  <c r="AT212" i="3"/>
  <c r="BW211" i="3"/>
  <c r="AU211" i="3"/>
  <c r="AT211" i="3"/>
  <c r="BW210" i="3"/>
  <c r="AU210" i="3"/>
  <c r="AT210" i="3"/>
  <c r="BW209" i="3"/>
  <c r="AU209" i="3"/>
  <c r="AT209" i="3"/>
  <c r="BW208" i="3"/>
  <c r="AU208" i="3"/>
  <c r="AT208" i="3"/>
  <c r="BW207" i="3"/>
  <c r="AU207" i="3"/>
  <c r="AT207" i="3"/>
  <c r="BU206" i="3"/>
  <c r="BT206" i="3"/>
  <c r="BS206" i="3"/>
  <c r="BR206" i="3"/>
  <c r="BQ206" i="3"/>
  <c r="AU206" i="3"/>
  <c r="AT206" i="3"/>
  <c r="BT205" i="3"/>
  <c r="BS205" i="3"/>
  <c r="BR205" i="3"/>
  <c r="BQ205" i="3"/>
  <c r="BH205" i="3"/>
  <c r="BD205" i="3"/>
  <c r="AU205" i="3"/>
  <c r="AT205" i="3"/>
  <c r="BW204" i="3"/>
  <c r="AU204" i="3"/>
  <c r="AT204" i="3"/>
  <c r="BW203" i="3"/>
  <c r="AU203" i="3"/>
  <c r="AT203" i="3"/>
  <c r="BW202" i="3"/>
  <c r="AU202" i="3"/>
  <c r="AT202" i="3"/>
  <c r="BW201" i="3"/>
  <c r="BV201" i="3"/>
  <c r="BI201" i="3"/>
  <c r="BH201" i="3"/>
  <c r="AU201" i="3"/>
  <c r="AT201" i="3"/>
  <c r="BW200" i="3"/>
  <c r="BV200" i="3"/>
  <c r="AU200" i="3"/>
  <c r="AT200" i="3"/>
  <c r="BS199" i="3"/>
  <c r="BR199" i="3"/>
  <c r="BQ199" i="3"/>
  <c r="AW199" i="3"/>
  <c r="AV199" i="3"/>
  <c r="AT199" i="3"/>
  <c r="BW198" i="3"/>
  <c r="BV198" i="3"/>
  <c r="AU198" i="3"/>
  <c r="AT198" i="3"/>
  <c r="BW197" i="3"/>
  <c r="BV197" i="3"/>
  <c r="AU197" i="3"/>
  <c r="AT197" i="3"/>
  <c r="BW196" i="3"/>
  <c r="BV196" i="3"/>
  <c r="AU196" i="3"/>
  <c r="AT196" i="3"/>
  <c r="BW195" i="3"/>
  <c r="BV195" i="3"/>
  <c r="AU195" i="3"/>
  <c r="AT195" i="3"/>
  <c r="BW194" i="3"/>
  <c r="AU194" i="3"/>
  <c r="AT194" i="3"/>
  <c r="BT193" i="3"/>
  <c r="BS193" i="3"/>
  <c r="BR193" i="3"/>
  <c r="BQ193" i="3"/>
  <c r="AU193" i="3"/>
  <c r="AT193" i="3"/>
  <c r="BR192" i="3"/>
  <c r="BW192" i="3" s="1"/>
  <c r="BH192" i="3"/>
  <c r="AU192" i="3"/>
  <c r="AT192" i="3"/>
  <c r="BT191" i="3"/>
  <c r="BH191" i="3"/>
  <c r="AZ191" i="3"/>
  <c r="AU191" i="3"/>
  <c r="AT191" i="3"/>
  <c r="BW190" i="3"/>
  <c r="BV190" i="3"/>
  <c r="BH190" i="3"/>
  <c r="AU190" i="3"/>
  <c r="AT190" i="3"/>
  <c r="BW189" i="3"/>
  <c r="BV189" i="3"/>
  <c r="AU189" i="3"/>
  <c r="AT189" i="3"/>
  <c r="BW188" i="3"/>
  <c r="AU188" i="3"/>
  <c r="AT188" i="3"/>
  <c r="BW187" i="3"/>
  <c r="BV187" i="3"/>
  <c r="BH187" i="3"/>
  <c r="AU187" i="3"/>
  <c r="AT187" i="3"/>
  <c r="BW186" i="3"/>
  <c r="AU186" i="3"/>
  <c r="AT186" i="3"/>
  <c r="BW185" i="3"/>
  <c r="AU185" i="3"/>
  <c r="AT185" i="3"/>
  <c r="BW184" i="3"/>
  <c r="AU184" i="3"/>
  <c r="AT184" i="3"/>
  <c r="BW183" i="3"/>
  <c r="AU183" i="3"/>
  <c r="AT183" i="3"/>
  <c r="BT182" i="3"/>
  <c r="BS182" i="3"/>
  <c r="BR182" i="3"/>
  <c r="BQ182" i="3"/>
  <c r="AV182" i="3"/>
  <c r="AU182" i="3" s="1"/>
  <c r="AT182" i="3"/>
  <c r="BW181" i="3"/>
  <c r="AU181" i="3"/>
  <c r="AT181" i="3"/>
  <c r="BW180" i="3"/>
  <c r="AU180" i="3"/>
  <c r="AT180" i="3"/>
  <c r="BW179" i="3"/>
  <c r="AU179" i="3"/>
  <c r="AT179" i="3"/>
  <c r="BW178" i="3"/>
  <c r="BD178" i="3"/>
  <c r="AU178" i="3"/>
  <c r="AT178" i="3"/>
  <c r="BV177" i="3"/>
  <c r="BU177" i="3"/>
  <c r="BT177" i="3"/>
  <c r="BS177" i="3"/>
  <c r="BR177" i="3"/>
  <c r="BQ177" i="3"/>
  <c r="AZ177" i="3"/>
  <c r="AV177" i="3"/>
  <c r="AU177" i="3" s="1"/>
  <c r="AT177" i="3"/>
  <c r="BW176" i="3"/>
  <c r="AU176" i="3"/>
  <c r="AT176" i="3"/>
  <c r="BW175" i="3"/>
  <c r="AU175" i="3"/>
  <c r="AT175" i="3"/>
  <c r="BW174" i="3"/>
  <c r="AU174" i="3"/>
  <c r="AT174" i="3"/>
  <c r="BW173" i="3"/>
  <c r="AU173" i="3"/>
  <c r="AT173" i="3"/>
  <c r="BW172" i="3"/>
  <c r="BV172" i="3"/>
  <c r="AV172" i="3"/>
  <c r="AU172" i="3" s="1"/>
  <c r="AT172" i="3"/>
  <c r="BW171" i="3"/>
  <c r="AU171" i="3"/>
  <c r="AT171" i="3"/>
  <c r="BW170" i="3"/>
  <c r="AU170" i="3"/>
  <c r="AT170" i="3"/>
  <c r="BW169" i="3"/>
  <c r="AU169" i="3"/>
  <c r="AT169" i="3"/>
  <c r="BW168" i="3"/>
  <c r="BV168" i="3"/>
  <c r="BH168" i="3"/>
  <c r="BD168" i="3"/>
  <c r="AV168" i="3"/>
  <c r="AU168" i="3" s="1"/>
  <c r="AT168" i="3"/>
  <c r="BW167" i="3"/>
  <c r="BD167" i="3"/>
  <c r="AU167" i="3"/>
  <c r="AT167" i="3"/>
  <c r="BW166" i="3"/>
  <c r="AU166" i="3"/>
  <c r="AT166" i="3"/>
  <c r="BW165" i="3"/>
  <c r="AU165" i="3"/>
  <c r="AT165" i="3"/>
  <c r="BW164" i="3"/>
  <c r="AU164" i="3"/>
  <c r="AT164" i="3"/>
  <c r="BT163" i="3"/>
  <c r="BS163" i="3"/>
  <c r="BR163" i="3"/>
  <c r="BQ163" i="3"/>
  <c r="AU163" i="3"/>
  <c r="AT163" i="3"/>
  <c r="BT162" i="3"/>
  <c r="BS162" i="3"/>
  <c r="BR162" i="3"/>
  <c r="BQ162" i="3"/>
  <c r="BI162" i="3"/>
  <c r="BD162" i="3"/>
  <c r="AW162" i="3"/>
  <c r="AV162" i="3"/>
  <c r="AT162" i="3"/>
  <c r="BT161" i="3"/>
  <c r="BS161" i="3"/>
  <c r="BR161" i="3"/>
  <c r="BQ161" i="3"/>
  <c r="BD161" i="3"/>
  <c r="AW161" i="3"/>
  <c r="AV161" i="3"/>
  <c r="AT161" i="3"/>
  <c r="BT160" i="3"/>
  <c r="BS160" i="3"/>
  <c r="BR160" i="3"/>
  <c r="BQ160" i="3"/>
  <c r="AW160" i="3"/>
  <c r="AV160" i="3"/>
  <c r="AT160" i="3"/>
  <c r="BT159" i="3"/>
  <c r="BS159" i="3"/>
  <c r="BR159" i="3"/>
  <c r="BQ159" i="3"/>
  <c r="AW159" i="3"/>
  <c r="AV159" i="3"/>
  <c r="AT159" i="3"/>
  <c r="BT158" i="3"/>
  <c r="BS158" i="3"/>
  <c r="BR158" i="3"/>
  <c r="BQ158" i="3"/>
  <c r="AW158" i="3"/>
  <c r="AV158" i="3"/>
  <c r="AT158" i="3"/>
  <c r="BT157" i="3"/>
  <c r="BS157" i="3"/>
  <c r="BR157" i="3"/>
  <c r="BQ157" i="3"/>
  <c r="AW157" i="3"/>
  <c r="AV157" i="3"/>
  <c r="AT157" i="3"/>
  <c r="BT156" i="3"/>
  <c r="BS156" i="3"/>
  <c r="BR156" i="3"/>
  <c r="BQ156" i="3"/>
  <c r="AW156" i="3"/>
  <c r="AV156" i="3"/>
  <c r="AT156" i="3"/>
  <c r="BT155" i="3"/>
  <c r="BS155" i="3"/>
  <c r="BR155" i="3"/>
  <c r="BQ155" i="3"/>
  <c r="AW155" i="3"/>
  <c r="AV155" i="3"/>
  <c r="AT155" i="3"/>
  <c r="BT154" i="3"/>
  <c r="BS154" i="3"/>
  <c r="BR154" i="3"/>
  <c r="BQ154" i="3"/>
  <c r="AW154" i="3"/>
  <c r="AV154" i="3"/>
  <c r="AT154" i="3"/>
  <c r="BT153" i="3"/>
  <c r="BS153" i="3"/>
  <c r="BR153" i="3"/>
  <c r="BQ153" i="3"/>
  <c r="AW153" i="3"/>
  <c r="AV153" i="3"/>
  <c r="AT153" i="3"/>
  <c r="BT152" i="3"/>
  <c r="BS152" i="3"/>
  <c r="BR152" i="3"/>
  <c r="BQ152" i="3"/>
  <c r="AW152" i="3"/>
  <c r="AV152" i="3"/>
  <c r="AT152" i="3"/>
  <c r="BT151" i="3"/>
  <c r="BS151" i="3"/>
  <c r="BR151" i="3"/>
  <c r="BQ151" i="3"/>
  <c r="AW151" i="3"/>
  <c r="AV151" i="3"/>
  <c r="AT151" i="3"/>
  <c r="BT150" i="3"/>
  <c r="BS150" i="3"/>
  <c r="BR150" i="3"/>
  <c r="BQ150" i="3"/>
  <c r="AW150" i="3"/>
  <c r="AV150" i="3"/>
  <c r="AT150" i="3"/>
  <c r="BT149" i="3"/>
  <c r="BS149" i="3"/>
  <c r="BR149" i="3"/>
  <c r="BQ149" i="3"/>
  <c r="AW149" i="3"/>
  <c r="AV149" i="3"/>
  <c r="AU149" i="3" s="1"/>
  <c r="AT149" i="3"/>
  <c r="BT148" i="3"/>
  <c r="BS148" i="3"/>
  <c r="BR148" i="3"/>
  <c r="BQ148" i="3"/>
  <c r="AW148" i="3"/>
  <c r="AV148" i="3"/>
  <c r="AT148" i="3"/>
  <c r="BT147" i="3"/>
  <c r="BS147" i="3"/>
  <c r="BR147" i="3"/>
  <c r="BQ147" i="3"/>
  <c r="AW147" i="3"/>
  <c r="AV147" i="3"/>
  <c r="AT147" i="3"/>
  <c r="BT146" i="3"/>
  <c r="BS146" i="3"/>
  <c r="BR146" i="3"/>
  <c r="BQ146" i="3"/>
  <c r="AW146" i="3"/>
  <c r="AV146" i="3"/>
  <c r="AT146" i="3"/>
  <c r="BT145" i="3"/>
  <c r="BS145" i="3"/>
  <c r="BR145" i="3"/>
  <c r="BQ145" i="3"/>
  <c r="AW145" i="3"/>
  <c r="AV145" i="3"/>
  <c r="AU145" i="3" s="1"/>
  <c r="AT145" i="3"/>
  <c r="BT144" i="3"/>
  <c r="BS144" i="3"/>
  <c r="BR144" i="3"/>
  <c r="BQ144" i="3"/>
  <c r="AW144" i="3"/>
  <c r="AV144" i="3"/>
  <c r="AT144" i="3"/>
  <c r="BT143" i="3"/>
  <c r="BS143" i="3"/>
  <c r="BR143" i="3"/>
  <c r="BQ143" i="3"/>
  <c r="AW143" i="3"/>
  <c r="AV143" i="3"/>
  <c r="AT143" i="3"/>
  <c r="BT142" i="3"/>
  <c r="BS142" i="3"/>
  <c r="BR142" i="3"/>
  <c r="BQ142" i="3"/>
  <c r="AW142" i="3"/>
  <c r="AV142" i="3"/>
  <c r="AT142" i="3"/>
  <c r="BT141" i="3"/>
  <c r="BS141" i="3"/>
  <c r="BR141" i="3"/>
  <c r="BQ141" i="3"/>
  <c r="AW141" i="3"/>
  <c r="AV141" i="3"/>
  <c r="AT141" i="3"/>
  <c r="BS140" i="3"/>
  <c r="BR140" i="3"/>
  <c r="BQ140" i="3"/>
  <c r="AW140" i="3"/>
  <c r="AV140" i="3"/>
  <c r="AU140" i="3" s="1"/>
  <c r="AT140" i="3"/>
  <c r="BT139" i="3"/>
  <c r="BS139" i="3"/>
  <c r="BR139" i="3"/>
  <c r="BQ139" i="3"/>
  <c r="AW139" i="3"/>
  <c r="AV139" i="3"/>
  <c r="AT139" i="3"/>
  <c r="BT138" i="3"/>
  <c r="BS138" i="3"/>
  <c r="BR138" i="3"/>
  <c r="BQ138" i="3"/>
  <c r="AW138" i="3"/>
  <c r="AV138" i="3"/>
  <c r="AT138" i="3"/>
  <c r="BT137" i="3"/>
  <c r="BS137" i="3"/>
  <c r="BR137" i="3"/>
  <c r="BQ137" i="3"/>
  <c r="AW137" i="3"/>
  <c r="AV137" i="3"/>
  <c r="AT137" i="3"/>
  <c r="BT136" i="3"/>
  <c r="BS136" i="3"/>
  <c r="BR136" i="3"/>
  <c r="BQ136" i="3"/>
  <c r="AW136" i="3"/>
  <c r="AV136" i="3"/>
  <c r="AT136" i="3"/>
  <c r="BT135" i="3"/>
  <c r="BS135" i="3"/>
  <c r="BR135" i="3"/>
  <c r="BQ135" i="3"/>
  <c r="AW135" i="3"/>
  <c r="AV135" i="3"/>
  <c r="AT135" i="3"/>
  <c r="BS134" i="3"/>
  <c r="BR134" i="3"/>
  <c r="BQ134" i="3"/>
  <c r="AW134" i="3"/>
  <c r="AV134" i="3"/>
  <c r="AT134" i="3"/>
  <c r="BT133" i="3"/>
  <c r="BS133" i="3"/>
  <c r="BR133" i="3"/>
  <c r="BQ133" i="3"/>
  <c r="AW133" i="3"/>
  <c r="AV133" i="3"/>
  <c r="AT133" i="3"/>
  <c r="BT132" i="3"/>
  <c r="BS132" i="3"/>
  <c r="BR132" i="3"/>
  <c r="BQ132" i="3"/>
  <c r="AW132" i="3"/>
  <c r="AV132" i="3"/>
  <c r="AT132" i="3"/>
  <c r="BT131" i="3"/>
  <c r="BS131" i="3"/>
  <c r="BR131" i="3"/>
  <c r="BQ131" i="3"/>
  <c r="AW131" i="3"/>
  <c r="AV131" i="3"/>
  <c r="AT131" i="3"/>
  <c r="BT130" i="3"/>
  <c r="BS130" i="3"/>
  <c r="BR130" i="3"/>
  <c r="BQ130" i="3"/>
  <c r="AW130" i="3"/>
  <c r="AV130" i="3"/>
  <c r="AT130" i="3"/>
  <c r="BT129" i="3"/>
  <c r="BS129" i="3"/>
  <c r="BR129" i="3"/>
  <c r="BQ129" i="3"/>
  <c r="AW129" i="3"/>
  <c r="AV129" i="3"/>
  <c r="AT129" i="3"/>
  <c r="BT128" i="3"/>
  <c r="BS128" i="3"/>
  <c r="BR128" i="3"/>
  <c r="BQ128" i="3"/>
  <c r="AW128" i="3"/>
  <c r="AV128" i="3"/>
  <c r="AT128" i="3"/>
  <c r="BT127" i="3"/>
  <c r="BS127" i="3"/>
  <c r="BR127" i="3"/>
  <c r="BQ127" i="3"/>
  <c r="AW127" i="3"/>
  <c r="AV127" i="3"/>
  <c r="AT127" i="3"/>
  <c r="BT126" i="3"/>
  <c r="BS126" i="3"/>
  <c r="BR126" i="3"/>
  <c r="BQ126" i="3"/>
  <c r="AW126" i="3"/>
  <c r="AV126" i="3"/>
  <c r="AT126" i="3"/>
  <c r="BT125" i="3"/>
  <c r="BS125" i="3"/>
  <c r="BR125" i="3"/>
  <c r="BQ125" i="3"/>
  <c r="AW125" i="3"/>
  <c r="AV125" i="3"/>
  <c r="AT125" i="3"/>
  <c r="BT124" i="3"/>
  <c r="BS124" i="3"/>
  <c r="BR124" i="3"/>
  <c r="BQ124" i="3"/>
  <c r="AW124" i="3"/>
  <c r="AV124" i="3"/>
  <c r="AT124" i="3"/>
  <c r="BT123" i="3"/>
  <c r="BS123" i="3"/>
  <c r="BR123" i="3"/>
  <c r="BQ123" i="3"/>
  <c r="AW123" i="3"/>
  <c r="AV123" i="3"/>
  <c r="AT123" i="3"/>
  <c r="BT122" i="3"/>
  <c r="BS122" i="3"/>
  <c r="BR122" i="3"/>
  <c r="BQ122" i="3"/>
  <c r="AW122" i="3"/>
  <c r="AV122" i="3"/>
  <c r="AT122" i="3"/>
  <c r="BT121" i="3"/>
  <c r="BS121" i="3"/>
  <c r="BR121" i="3"/>
  <c r="BQ121" i="3"/>
  <c r="AW121" i="3"/>
  <c r="AV121" i="3"/>
  <c r="AT121" i="3"/>
  <c r="BT120" i="3"/>
  <c r="BS120" i="3"/>
  <c r="BR120" i="3"/>
  <c r="BQ120" i="3"/>
  <c r="AW120" i="3"/>
  <c r="AV120" i="3"/>
  <c r="AT120" i="3"/>
  <c r="BT119" i="3"/>
  <c r="BS119" i="3"/>
  <c r="BR119" i="3"/>
  <c r="BQ119" i="3"/>
  <c r="AW119" i="3"/>
  <c r="AV119" i="3"/>
  <c r="AT119" i="3"/>
  <c r="BT118" i="3"/>
  <c r="BS118" i="3"/>
  <c r="BR118" i="3"/>
  <c r="BQ118" i="3"/>
  <c r="AW118" i="3"/>
  <c r="AV118" i="3"/>
  <c r="AT118" i="3"/>
  <c r="BT117" i="3"/>
  <c r="BS117" i="3"/>
  <c r="BR117" i="3"/>
  <c r="BQ117" i="3"/>
  <c r="AW117" i="3"/>
  <c r="AV117" i="3"/>
  <c r="AT117" i="3"/>
  <c r="BT116" i="3"/>
  <c r="BS116" i="3"/>
  <c r="BR116" i="3"/>
  <c r="BQ116" i="3"/>
  <c r="AW116" i="3"/>
  <c r="AV116" i="3"/>
  <c r="AT116" i="3"/>
  <c r="BT115" i="3"/>
  <c r="BS115" i="3"/>
  <c r="BR115" i="3"/>
  <c r="BQ115" i="3"/>
  <c r="AW115" i="3"/>
  <c r="AV115" i="3"/>
  <c r="AT115" i="3"/>
  <c r="BT114" i="3"/>
  <c r="BS114" i="3"/>
  <c r="BR114" i="3"/>
  <c r="BQ114" i="3"/>
  <c r="AW114" i="3"/>
  <c r="AV114" i="3"/>
  <c r="AT114" i="3"/>
  <c r="BT113" i="3"/>
  <c r="BS113" i="3"/>
  <c r="BR113" i="3"/>
  <c r="BQ113" i="3"/>
  <c r="AW113" i="3"/>
  <c r="AV113" i="3"/>
  <c r="AT113" i="3"/>
  <c r="BW112" i="3"/>
  <c r="AU112" i="3"/>
  <c r="AT112" i="3"/>
  <c r="BW111" i="3"/>
  <c r="AV111" i="3"/>
  <c r="AU111" i="3" s="1"/>
  <c r="AT111" i="3"/>
  <c r="BW110" i="3"/>
  <c r="BV110" i="3"/>
  <c r="AU110" i="3"/>
  <c r="AT110" i="3"/>
  <c r="BW109" i="3"/>
  <c r="AU109" i="3"/>
  <c r="AT109" i="3"/>
  <c r="BW108" i="3"/>
  <c r="AU108" i="3"/>
  <c r="AT108" i="3"/>
  <c r="BW107" i="3"/>
  <c r="AU107" i="3"/>
  <c r="AT107" i="3"/>
  <c r="BW106" i="3"/>
  <c r="AU106" i="3"/>
  <c r="AT106" i="3"/>
  <c r="BW105" i="3"/>
  <c r="AU105" i="3"/>
  <c r="AT105" i="3"/>
  <c r="BW104" i="3"/>
  <c r="AU104" i="3"/>
  <c r="AT104" i="3"/>
  <c r="BW103" i="3"/>
  <c r="AU103" i="3"/>
  <c r="AT103" i="3"/>
  <c r="BW102" i="3"/>
  <c r="BV102" i="3"/>
  <c r="BD102" i="3"/>
  <c r="AZ102" i="3"/>
  <c r="AU102" i="3"/>
  <c r="AT102" i="3"/>
  <c r="BW101" i="3"/>
  <c r="AU101" i="3"/>
  <c r="AT101" i="3"/>
  <c r="BW100" i="3"/>
  <c r="AU100" i="3"/>
  <c r="AT100" i="3"/>
  <c r="BW99" i="3"/>
  <c r="BV99" i="3"/>
  <c r="BD99" i="3"/>
  <c r="AU99" i="3"/>
  <c r="AT99" i="3"/>
  <c r="BW98" i="3"/>
  <c r="AU98" i="3"/>
  <c r="AT98" i="3"/>
  <c r="BW97" i="3"/>
  <c r="AU97" i="3"/>
  <c r="AT97" i="3"/>
  <c r="BW96" i="3"/>
  <c r="AU96" i="3"/>
  <c r="AT96" i="3"/>
  <c r="BW95" i="3"/>
  <c r="BV95" i="3"/>
  <c r="AU95" i="3"/>
  <c r="AT95" i="3"/>
  <c r="BW94" i="3"/>
  <c r="BV94" i="3"/>
  <c r="BJ94" i="3"/>
  <c r="AU94" i="3"/>
  <c r="AT94" i="3"/>
  <c r="BW93" i="3"/>
  <c r="BV93" i="3"/>
  <c r="AU93" i="3"/>
  <c r="AT93" i="3"/>
  <c r="BW92" i="3"/>
  <c r="AU92" i="3"/>
  <c r="AT92" i="3"/>
  <c r="BW91" i="3"/>
  <c r="AU91" i="3"/>
  <c r="AT91" i="3"/>
  <c r="BW90" i="3"/>
  <c r="BV90" i="3"/>
  <c r="AU90" i="3"/>
  <c r="AT90" i="3"/>
  <c r="BW89" i="3"/>
  <c r="BV89" i="3"/>
  <c r="AU89" i="3"/>
  <c r="AT89" i="3"/>
  <c r="BW88" i="3"/>
  <c r="BV88" i="3"/>
  <c r="BD88" i="3"/>
  <c r="AZ88" i="3"/>
  <c r="AU88" i="3"/>
  <c r="AT88" i="3"/>
  <c r="BW87" i="3"/>
  <c r="BJ87" i="3"/>
  <c r="BI87" i="3"/>
  <c r="BH87" i="3"/>
  <c r="AU87" i="3"/>
  <c r="AT87" i="3"/>
  <c r="BW86" i="3"/>
  <c r="BH86" i="3"/>
  <c r="AU86" i="3"/>
  <c r="AT86" i="3"/>
  <c r="BW85" i="3"/>
  <c r="BV85" i="3"/>
  <c r="AU85" i="3"/>
  <c r="AT85" i="3"/>
  <c r="BW84" i="3"/>
  <c r="AU84" i="3"/>
  <c r="AT84" i="3"/>
  <c r="BW83" i="3"/>
  <c r="AU83" i="3"/>
  <c r="AT83" i="3"/>
  <c r="BW82" i="3"/>
  <c r="AU82" i="3"/>
  <c r="AT82" i="3"/>
  <c r="BW81" i="3"/>
  <c r="AU81" i="3"/>
  <c r="AT81" i="3"/>
  <c r="BW80" i="3"/>
  <c r="BV80" i="3"/>
  <c r="AU80" i="3"/>
  <c r="AT80" i="3"/>
  <c r="BW79" i="3"/>
  <c r="BH79" i="3"/>
  <c r="AU79" i="3"/>
  <c r="AT79" i="3"/>
  <c r="BW78" i="3"/>
  <c r="BI78" i="3"/>
  <c r="AU78" i="3"/>
  <c r="AT78" i="3"/>
  <c r="BW77" i="3"/>
  <c r="AU77" i="3"/>
  <c r="AT77" i="3"/>
  <c r="BW76" i="3"/>
  <c r="BV76" i="3"/>
  <c r="BJ76" i="3"/>
  <c r="BI76" i="3"/>
  <c r="BH76" i="3"/>
  <c r="AU76" i="3"/>
  <c r="AT76" i="3"/>
  <c r="BW75" i="3"/>
  <c r="AU75" i="3"/>
  <c r="AT75" i="3"/>
  <c r="BW74" i="3"/>
  <c r="BV74" i="3"/>
  <c r="AU74" i="3"/>
  <c r="AT74" i="3"/>
  <c r="BW73" i="3"/>
  <c r="AU73" i="3"/>
  <c r="AT73" i="3"/>
  <c r="BW72" i="3"/>
  <c r="AU72" i="3"/>
  <c r="AT72" i="3"/>
  <c r="BW71" i="3"/>
  <c r="AU71" i="3"/>
  <c r="AT71" i="3"/>
  <c r="BW70" i="3"/>
  <c r="AU70" i="3"/>
  <c r="AT70" i="3"/>
  <c r="BW69" i="3"/>
  <c r="AU69" i="3"/>
  <c r="AT69" i="3"/>
  <c r="BW68" i="3"/>
  <c r="AU68" i="3"/>
  <c r="AT68" i="3"/>
  <c r="BW67" i="3"/>
  <c r="BV67" i="3"/>
  <c r="AU67" i="3"/>
  <c r="AT67" i="3"/>
  <c r="BW66" i="3"/>
  <c r="AU66" i="3"/>
  <c r="AT66" i="3"/>
  <c r="BW65" i="3"/>
  <c r="BH65" i="3"/>
  <c r="AU65" i="3"/>
  <c r="AT65" i="3"/>
  <c r="BW64" i="3"/>
  <c r="AU64" i="3"/>
  <c r="AT64" i="3"/>
  <c r="BW63" i="3"/>
  <c r="BV63" i="3"/>
  <c r="AU63" i="3"/>
  <c r="AT63" i="3"/>
  <c r="BW62" i="3"/>
  <c r="AU62" i="3"/>
  <c r="AT62" i="3"/>
  <c r="BW61" i="3"/>
  <c r="AU61" i="3"/>
  <c r="AT61" i="3"/>
  <c r="BW60" i="3"/>
  <c r="BV60" i="3"/>
  <c r="BD60" i="3"/>
  <c r="AV60" i="3"/>
  <c r="AU60" i="3" s="1"/>
  <c r="AT60" i="3"/>
  <c r="BW59" i="3"/>
  <c r="AV59" i="3"/>
  <c r="AU59" i="3"/>
  <c r="AT59" i="3"/>
  <c r="BW58" i="3"/>
  <c r="AU58" i="3"/>
  <c r="AT58" i="3"/>
  <c r="BW57" i="3"/>
  <c r="AU57" i="3"/>
  <c r="AT57" i="3"/>
  <c r="BW56" i="3"/>
  <c r="AU56" i="3"/>
  <c r="AT56" i="3"/>
  <c r="BW55" i="3"/>
  <c r="BV55" i="3"/>
  <c r="AV55" i="3"/>
  <c r="AU55" i="3" s="1"/>
  <c r="AT55" i="3"/>
  <c r="BW54" i="3"/>
  <c r="AU54" i="3"/>
  <c r="AT54" i="3"/>
  <c r="BW53" i="3"/>
  <c r="BH53" i="3"/>
  <c r="AU53" i="3"/>
  <c r="AT53" i="3"/>
  <c r="BW52" i="3"/>
  <c r="BH52" i="3"/>
  <c r="AU52" i="3"/>
  <c r="AT52" i="3"/>
  <c r="BW51" i="3"/>
  <c r="AU51" i="3"/>
  <c r="AT51" i="3"/>
  <c r="BW50" i="3"/>
  <c r="AV50" i="3"/>
  <c r="AU50" i="3" s="1"/>
  <c r="AT50" i="3"/>
  <c r="BW49" i="3"/>
  <c r="AU49" i="3"/>
  <c r="AT49" i="3"/>
  <c r="BW48" i="3"/>
  <c r="AU48" i="3"/>
  <c r="AT48" i="3"/>
  <c r="BW47" i="3"/>
  <c r="AU47" i="3"/>
  <c r="AT47" i="3"/>
  <c r="BW46" i="3"/>
  <c r="AU46" i="3"/>
  <c r="AT46" i="3"/>
  <c r="BT45" i="3"/>
  <c r="BS45" i="3"/>
  <c r="BR45" i="3"/>
  <c r="BQ45" i="3"/>
  <c r="AZ45" i="3"/>
  <c r="AV45" i="3"/>
  <c r="AU45" i="3" s="1"/>
  <c r="AT45" i="3"/>
  <c r="BW44" i="3"/>
  <c r="AU44" i="3"/>
  <c r="AT44" i="3"/>
  <c r="BW43" i="3"/>
  <c r="AU43" i="3"/>
  <c r="AT43" i="3"/>
  <c r="BW42" i="3"/>
  <c r="AU42" i="3"/>
  <c r="AT42" i="3"/>
  <c r="BW41" i="3"/>
  <c r="AU41" i="3"/>
  <c r="AT41" i="3"/>
  <c r="BW40" i="3"/>
  <c r="BV40" i="3"/>
  <c r="AU40" i="3"/>
  <c r="AT40" i="3"/>
  <c r="BW39" i="3"/>
  <c r="AU39" i="3"/>
  <c r="AT39" i="3"/>
  <c r="BW38" i="3"/>
  <c r="BD38" i="3"/>
  <c r="AU38" i="3"/>
  <c r="AT38" i="3"/>
  <c r="BW37" i="3"/>
  <c r="AU37" i="3"/>
  <c r="AT37" i="3"/>
  <c r="BW36" i="3"/>
  <c r="BH36" i="3"/>
  <c r="AU36" i="3"/>
  <c r="AT36" i="3"/>
  <c r="BW35" i="3"/>
  <c r="AU35" i="3"/>
  <c r="AT35" i="3"/>
  <c r="BW34" i="3"/>
  <c r="BV34" i="3"/>
  <c r="AU34" i="3"/>
  <c r="AT34" i="3"/>
  <c r="BW33" i="3"/>
  <c r="AU33" i="3"/>
  <c r="AT33" i="3"/>
  <c r="BW32" i="3"/>
  <c r="AU32" i="3"/>
  <c r="AT32" i="3"/>
  <c r="BW31" i="3"/>
  <c r="AU31" i="3"/>
  <c r="AT31" i="3"/>
  <c r="BW30" i="3"/>
  <c r="BV30" i="3"/>
  <c r="AU30" i="3"/>
  <c r="AT30" i="3"/>
  <c r="BW29" i="3"/>
  <c r="AU29" i="3"/>
  <c r="AT29" i="3"/>
  <c r="BW28" i="3"/>
  <c r="AU28" i="3"/>
  <c r="AT28" i="3"/>
  <c r="BW27" i="3"/>
  <c r="AU27" i="3"/>
  <c r="AT27" i="3"/>
  <c r="BW26" i="3"/>
  <c r="AU26" i="3"/>
  <c r="AT26" i="3"/>
  <c r="BW25" i="3"/>
  <c r="BV25" i="3"/>
  <c r="BJ25" i="3"/>
  <c r="BI25" i="3"/>
  <c r="BD25" i="3"/>
  <c r="AZ25" i="3"/>
  <c r="AU25" i="3"/>
  <c r="AT25" i="3"/>
  <c r="BW24" i="3"/>
  <c r="BJ24" i="3"/>
  <c r="BI24" i="3"/>
  <c r="BH24" i="3"/>
  <c r="BA24" i="3"/>
  <c r="AZ24" i="3"/>
  <c r="AU24" i="3"/>
  <c r="AT24" i="3"/>
  <c r="BW23" i="3"/>
  <c r="BE23" i="3"/>
  <c r="BD23" i="3"/>
  <c r="AU23" i="3"/>
  <c r="AT23" i="3"/>
  <c r="BW22" i="3"/>
  <c r="BJ22" i="3"/>
  <c r="AZ22" i="3"/>
  <c r="AU22" i="3"/>
  <c r="AT22" i="3"/>
  <c r="BW21" i="3"/>
  <c r="AU21" i="3"/>
  <c r="AT21" i="3"/>
  <c r="BW20" i="3"/>
  <c r="BV20" i="3"/>
  <c r="BE20" i="3"/>
  <c r="AU20" i="3"/>
  <c r="AT20" i="3"/>
  <c r="BW19" i="3"/>
  <c r="AU19" i="3"/>
  <c r="AT19" i="3"/>
  <c r="BW18" i="3"/>
  <c r="BV18" i="3"/>
  <c r="AU18" i="3"/>
  <c r="AT18" i="3"/>
  <c r="BW17" i="3"/>
  <c r="BV17" i="3"/>
  <c r="AU17" i="3"/>
  <c r="AT17" i="3"/>
  <c r="BW16" i="3"/>
  <c r="BV16" i="3"/>
  <c r="AU16" i="3"/>
  <c r="AT16" i="3"/>
  <c r="BW15" i="3"/>
  <c r="AU15" i="3"/>
  <c r="AT15" i="3"/>
  <c r="BW14" i="3"/>
  <c r="AV14" i="3"/>
  <c r="AU14" i="3" s="1"/>
  <c r="AT14" i="3"/>
  <c r="BW13" i="3"/>
  <c r="AV13" i="3"/>
  <c r="AU13" i="3" s="1"/>
  <c r="AT13" i="3"/>
  <c r="BW12" i="3"/>
  <c r="BV12" i="3"/>
  <c r="AV12" i="3"/>
  <c r="AU12" i="3"/>
  <c r="AT12" i="3"/>
  <c r="BW11" i="3"/>
  <c r="BV11" i="3"/>
  <c r="BH11" i="3"/>
  <c r="AV11" i="3"/>
  <c r="AU11" i="3" s="1"/>
  <c r="AT11" i="3"/>
  <c r="BW10" i="3"/>
  <c r="BV10" i="3"/>
  <c r="BD10" i="3"/>
  <c r="AV10" i="3"/>
  <c r="AU10" i="3" s="1"/>
  <c r="AT10" i="3"/>
  <c r="BW9" i="3"/>
  <c r="AU9" i="3"/>
  <c r="AT9" i="3"/>
  <c r="BW8" i="3"/>
  <c r="AU8" i="3"/>
  <c r="AT8" i="3"/>
  <c r="BW7" i="3"/>
  <c r="AU7" i="3"/>
  <c r="AT7" i="3"/>
  <c r="BW6" i="3"/>
  <c r="BV6" i="3"/>
  <c r="AU6" i="3"/>
  <c r="AT6" i="3"/>
  <c r="BW5" i="3"/>
  <c r="BH5" i="3"/>
  <c r="AU5" i="3"/>
  <c r="AT5" i="3"/>
  <c r="BW4" i="3"/>
  <c r="AU4" i="3"/>
  <c r="AT4" i="3"/>
  <c r="BW3" i="3"/>
  <c r="AU3" i="3"/>
  <c r="AT3" i="3"/>
  <c r="BW2" i="3"/>
  <c r="AU2" i="3"/>
  <c r="AT2" i="3"/>
  <c r="BV161" i="3" l="1"/>
  <c r="AU113" i="3"/>
  <c r="AU137" i="3"/>
  <c r="AU161" i="3"/>
  <c r="AU155" i="3"/>
  <c r="AU159" i="3"/>
  <c r="BW342" i="3"/>
  <c r="AU117" i="3"/>
  <c r="AU125" i="3"/>
  <c r="AU133" i="3"/>
  <c r="AU122" i="3"/>
  <c r="AU134" i="3"/>
  <c r="AU123" i="3"/>
  <c r="AU131" i="3"/>
  <c r="BV147" i="3"/>
  <c r="BV199" i="3"/>
  <c r="BW266" i="3"/>
  <c r="AU121" i="3"/>
  <c r="AU128" i="3"/>
  <c r="AU143" i="3"/>
  <c r="BW213" i="3"/>
  <c r="AU147" i="3"/>
  <c r="AU154" i="3"/>
  <c r="AU148" i="3"/>
  <c r="BV134" i="3"/>
  <c r="AU152" i="3"/>
  <c r="BV142" i="3"/>
  <c r="BV128" i="3"/>
  <c r="AU146" i="3"/>
  <c r="AU160" i="3"/>
  <c r="BW160" i="3"/>
  <c r="BW150" i="3"/>
  <c r="BW218" i="3"/>
  <c r="AU116" i="3"/>
  <c r="BW482" i="3"/>
  <c r="BW374" i="3"/>
  <c r="AU114" i="3"/>
  <c r="AU138" i="3"/>
  <c r="BW205" i="3"/>
  <c r="AU120" i="3"/>
  <c r="BW445" i="3"/>
  <c r="AU135" i="3"/>
  <c r="AU115" i="3"/>
  <c r="BW156" i="3"/>
  <c r="AU129" i="3"/>
  <c r="AU136" i="3"/>
  <c r="BW296" i="3"/>
  <c r="BV140" i="3"/>
  <c r="BW153" i="3"/>
  <c r="AU150" i="3"/>
  <c r="BW117" i="3"/>
  <c r="BW126" i="3"/>
  <c r="AU153" i="3"/>
  <c r="AU156" i="3"/>
  <c r="BW212" i="3"/>
  <c r="BV162" i="3"/>
  <c r="BW368" i="3"/>
  <c r="BV118" i="3"/>
  <c r="AU142" i="3"/>
  <c r="BV124" i="3"/>
  <c r="AU139" i="3"/>
  <c r="BW177" i="3"/>
  <c r="BV226" i="3"/>
  <c r="BW133" i="3"/>
  <c r="BV148" i="3"/>
  <c r="BV151" i="3"/>
  <c r="BW345" i="3"/>
  <c r="BV454" i="3"/>
  <c r="BV145" i="3"/>
  <c r="BW270" i="3"/>
  <c r="BW336" i="3"/>
  <c r="BW135" i="3"/>
  <c r="BW143" i="3"/>
  <c r="AU119" i="3"/>
  <c r="BW118" i="3"/>
  <c r="BV182" i="3"/>
  <c r="BW450" i="3"/>
  <c r="BW468" i="3"/>
  <c r="AU126" i="3"/>
  <c r="AU141" i="3"/>
  <c r="BV347" i="3"/>
  <c r="BW382" i="3"/>
  <c r="BW148" i="3"/>
  <c r="BV445" i="3"/>
  <c r="BV117" i="3"/>
  <c r="BW157" i="3"/>
  <c r="AU199" i="3"/>
  <c r="BW375" i="3"/>
  <c r="AU162" i="3"/>
  <c r="BV440" i="3"/>
  <c r="BV114" i="3"/>
  <c r="BW154" i="3"/>
  <c r="BW162" i="3"/>
  <c r="BV468" i="3"/>
  <c r="BV120" i="3"/>
  <c r="AU132" i="3"/>
  <c r="BV157" i="3"/>
  <c r="BW123" i="3"/>
  <c r="BV143" i="3"/>
  <c r="AU118" i="3"/>
  <c r="BV160" i="3"/>
  <c r="BW132" i="3"/>
  <c r="BV345" i="3"/>
  <c r="BV279" i="3"/>
  <c r="AU158" i="3"/>
  <c r="BW279" i="3"/>
  <c r="AU124" i="3"/>
  <c r="BW138" i="3"/>
  <c r="AU213" i="3"/>
  <c r="BW226" i="3"/>
  <c r="BW373" i="3"/>
  <c r="AU127" i="3"/>
  <c r="BV144" i="3"/>
  <c r="BW182" i="3"/>
  <c r="BV130" i="3"/>
  <c r="BV386" i="3"/>
  <c r="BW466" i="3"/>
  <c r="BV205" i="3"/>
  <c r="BV342" i="3"/>
  <c r="BW124" i="3"/>
  <c r="BV141" i="3"/>
  <c r="BW155" i="3"/>
  <c r="BV218" i="3"/>
  <c r="BV338" i="3"/>
  <c r="AU151" i="3"/>
  <c r="BW121" i="3"/>
  <c r="BW158" i="3"/>
  <c r="BW161" i="3"/>
  <c r="BW136" i="3"/>
  <c r="BW142" i="3"/>
  <c r="BV150" i="3"/>
  <c r="BW338" i="3"/>
  <c r="BW378" i="3"/>
  <c r="BV122" i="3"/>
  <c r="BW145" i="3"/>
  <c r="BV156" i="3"/>
  <c r="BV193" i="3"/>
  <c r="AU157" i="3"/>
  <c r="BV135" i="3"/>
  <c r="BV152" i="3"/>
  <c r="AU130" i="3"/>
  <c r="BV133" i="3"/>
  <c r="BV119" i="3"/>
  <c r="BV153" i="3"/>
  <c r="BW260" i="3"/>
  <c r="BW489" i="3"/>
  <c r="BV489" i="3"/>
  <c r="BW163" i="3"/>
  <c r="BV163" i="3"/>
  <c r="BW128" i="3"/>
  <c r="BW193" i="3"/>
  <c r="BW115" i="3"/>
  <c r="BV115" i="3"/>
  <c r="BV126" i="3"/>
  <c r="BV378" i="3"/>
  <c r="BV154" i="3"/>
  <c r="BV132" i="3"/>
  <c r="BW152" i="3"/>
  <c r="BW139" i="3"/>
  <c r="BV139" i="3"/>
  <c r="BW199" i="3"/>
  <c r="BW130" i="3"/>
  <c r="BW149" i="3"/>
  <c r="BV149" i="3"/>
  <c r="BV155" i="3"/>
  <c r="BW122" i="3"/>
  <c r="BW151" i="3"/>
  <c r="BW232" i="3"/>
  <c r="BV232" i="3"/>
  <c r="BW120" i="3"/>
  <c r="BW147" i="3"/>
  <c r="BV466" i="3"/>
  <c r="BV336" i="3"/>
  <c r="BW137" i="3"/>
  <c r="BV137" i="3"/>
  <c r="BW440" i="3"/>
  <c r="BV113" i="3"/>
  <c r="BW113" i="3"/>
  <c r="BW369" i="3"/>
  <c r="BV369" i="3"/>
  <c r="BW140" i="3"/>
  <c r="BW191" i="3"/>
  <c r="BV191" i="3"/>
  <c r="BV138" i="3"/>
  <c r="BV158" i="3"/>
  <c r="BV45" i="3"/>
  <c r="BW45" i="3"/>
  <c r="BW454" i="3"/>
  <c r="BV127" i="3"/>
  <c r="BW127" i="3"/>
  <c r="BW114" i="3"/>
  <c r="BW125" i="3"/>
  <c r="BV125" i="3"/>
  <c r="BW141" i="3"/>
  <c r="BW119" i="3"/>
  <c r="BW159" i="3"/>
  <c r="BV159" i="3"/>
  <c r="BV121" i="3"/>
  <c r="BW131" i="3"/>
  <c r="BV131" i="3"/>
  <c r="BW206" i="3"/>
  <c r="BV206" i="3"/>
  <c r="BW281" i="3"/>
  <c r="BW129" i="3"/>
  <c r="BV129" i="3"/>
  <c r="BW490" i="3"/>
  <c r="BV490" i="3"/>
  <c r="BV382" i="3"/>
  <c r="BV260" i="3"/>
  <c r="BV430" i="3"/>
  <c r="BV123" i="3"/>
  <c r="BV368" i="3"/>
  <c r="BV213" i="3"/>
  <c r="BW395" i="3"/>
  <c r="BV395" i="3"/>
  <c r="AU144" i="3"/>
  <c r="BW146" i="3"/>
  <c r="BV146" i="3"/>
  <c r="BW144" i="3"/>
  <c r="BV321" i="3"/>
  <c r="BW386" i="3"/>
  <c r="BV482" i="3"/>
  <c r="BV116" i="3"/>
  <c r="BW116" i="3"/>
  <c r="BW134" i="3"/>
  <c r="BV136" i="3"/>
  <c r="BV192" i="3"/>
  <c r="BV50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tc={B9C35C31-7815-4427-80E6-AB31B70A018B}</author>
    <author>tc={85E9DD2F-A1F1-49F7-8EF4-15729B790775}</author>
    <author>tc={72E565B4-D880-4D59-956E-B6A42D76A0D9}</author>
    <author>tc={8F9BA419-96C8-4AC6-915F-59DB2F67B942}</author>
    <author>tc={B6432686-C2F2-4EDB-BFA3-DB10913DF071}</author>
    <author>Autor</author>
    <author>tc={D32B539A-3906-4E96-BAB8-1D787C234127}</author>
    <author>tc={DCF320B0-B68C-488C-8678-65554FA8A83C}</author>
    <author>tc={DD101BC6-293A-4D03-95F1-03D178F7ADDC}</author>
    <author>tc={71A6F2CB-A028-44B7-9727-FAFDAD45C0FD}</author>
    <author>tc={F08AAEC4-4792-408E-ACA0-9D63CAA35ACF}</author>
    <author>tc={DE2E6137-1CE6-4D58-B397-F3180FC153D6}</author>
    <author>tc={A272C667-EFCC-45A3-AB77-B47B0E18EB16}</author>
    <author>tc={AC8FA8E9-3B68-40D6-9BBD-1670FF4FEAFB}</author>
    <author>tc={D2491657-940B-44EC-850B-AA8E8A604D56}</author>
    <author>tc={4F12C944-237D-420D-B909-80223FDD323B}</author>
    <author>tc={A360750C-8E09-42C5-9F8C-972E10893A50}</author>
    <author>tc={89F1F1CE-7C1F-41CD-AA77-1D06135EC46F}</author>
    <author>tc={A49A6923-7AE7-462C-A072-38A1B60A797F}</author>
    <author>tc={039BCD81-98C7-4084-A903-8D721F93F04C}</author>
    <author>tc={D66808B1-6F15-4090-96D1-E8ABD2B44C71}</author>
    <author>tc={2E949AF1-7A26-41E0-9032-203D56D84504}</author>
    <author>tc={0EB42107-70B2-4F6B-A40D-F89B413AE5CE}</author>
    <author>tc={0930A1A8-CD46-43EC-907A-DD5704A15379}</author>
    <author>tc={45D4DF85-B65D-4EE9-BE40-987109CBA00D}</author>
    <author>tc={B33E3B2B-BFAD-4A18-AF53-347E4F0CAE66}</author>
    <author>tc={33909D7B-CEE4-414E-A9D3-15F02131D830}</author>
    <author>tc={E5A99A2F-76FE-4EC4-AB75-14C383C88D93}</author>
    <author>tc={470CE65D-C966-4460-B445-AF695D071585}</author>
    <author>tc={715A149A-8491-40D1-B457-8F380864C9FF}</author>
    <author>tc={1750D405-2919-4004-95B2-C9FE9B43C754}</author>
    <author>tc={3C43E9F8-EC2C-4427-ABAD-F5A3A19329BA}</author>
    <author>tc={98B03068-CB4D-42A7-9706-474BB14A8577}</author>
    <author>tc={A7A3B1F9-E780-4F37-B769-255B97D70D71}</author>
    <author>tc={A4D61376-C10C-4714-BBF3-2BE0D3EA0C2E}</author>
    <author>tc={3E3F4256-8180-40C4-B727-CD63554277FB}</author>
    <author>tc={22C8D982-7927-4D83-B502-423E8F27A752}</author>
  </authors>
  <commentList>
    <comment ref="AE6" authorId="0" shapeId="0" xr:uid="{B9C35C31-7815-4427-80E6-AB31B70A018B}">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A16" authorId="1" shapeId="0" xr:uid="{85E9DD2F-A1F1-49F7-8EF4-15729B790775}">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16" authorId="2" shapeId="0" xr:uid="{72E565B4-D880-4D59-956E-B6A42D76A0D9}">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25" authorId="3" shapeId="0" xr:uid="{8F9BA419-96C8-4AC6-915F-59DB2F67B942}">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3" authorId="4" shapeId="0" xr:uid="{B6432686-C2F2-4EDB-BFA3-DB10913DF071}">
      <text>
        <t>[Comentário encadeado]
Sua versão do Excel permite que você leia este comentário encadeado, no entanto, as edições serão removidas se o arquivo for aberto em uma versão mais recente do Excel. Saiba mais: https://go.microsoft.com/fwlink/?linkid=870924
Comentário:
    Considerado que não possui coleta de indiferenciada</t>
      </text>
    </comment>
    <comment ref="CJ41" authorId="5" shapeId="0" xr:uid="{7F861730-F1A1-4B99-8D18-5EF6AAC63205}">
      <text>
        <r>
          <rPr>
            <sz val="10"/>
            <color rgb="FF000000"/>
            <rFont val="Aptos Narrow"/>
            <family val="2"/>
            <scheme val="minor"/>
          </rPr>
          <t>O respondente atualizou este valor.</t>
        </r>
      </text>
    </comment>
    <comment ref="CN41" authorId="5" shapeId="0" xr:uid="{AA1AFA01-9BC9-4BBA-BD30-4F67957B169A}">
      <text>
        <r>
          <rPr>
            <sz val="10"/>
            <color rgb="FF000000"/>
            <rFont val="Aptos Narrow"/>
            <family val="2"/>
            <scheme val="minor"/>
          </rPr>
          <t>O respondente atualizou este valor.</t>
        </r>
      </text>
    </comment>
    <comment ref="AE51" authorId="6" shapeId="0" xr:uid="{D32B539A-3906-4E96-BAB8-1D787C234127}">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53" authorId="7" shapeId="0" xr:uid="{DCF320B0-B68C-488C-8678-65554FA8A83C}">
      <text>
        <t>[Comentário encadeado]
Sua versão do Excel permite que você leia este comentário encadeado, no entanto, as edições serão removidas se o arquivo for aberto em uma versão mais recente do Excel. Saiba mais: https://go.microsoft.com/fwlink/?linkid=870924
Comentário:
    Considerado que não possui coleta de indiferenciada</t>
      </text>
    </comment>
    <comment ref="CH69" authorId="5" shapeId="0" xr:uid="{F1913D10-1589-407E-AB8E-C7070E0D2C8E}">
      <text>
        <r>
          <rPr>
            <sz val="10"/>
            <color rgb="FF000000"/>
            <rFont val="Aptos Narrow"/>
            <family val="2"/>
            <scheme val="minor"/>
          </rPr>
          <t>O respondente atualizou este valor.</t>
        </r>
      </text>
    </comment>
    <comment ref="CI69" authorId="5" shapeId="0" xr:uid="{004B107D-81C6-4B72-A6B3-751DBA2558C2}">
      <text>
        <r>
          <rPr>
            <sz val="10"/>
            <color rgb="FF000000"/>
            <rFont val="Aptos Narrow"/>
            <family val="2"/>
            <scheme val="minor"/>
          </rPr>
          <t>O respondente atualizou este valor.</t>
        </r>
      </text>
    </comment>
    <comment ref="AE98" authorId="8" shapeId="0" xr:uid="{DD101BC6-293A-4D03-95F1-03D178F7ADDC}">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99" authorId="9" shapeId="0" xr:uid="{71A6F2CB-A028-44B7-9727-FAFDAD45C0FD}">
      <text>
        <t>[Comentário encadeado]
Sua versão do Excel permite que você leia este comentário encadeado, no entanto, as edições serão removidas se o arquivo for aberto em uma versão mais recente do Excel. Saiba mais: https://go.microsoft.com/fwlink/?linkid=870924
Comentário:
    Considerado que não possui coleta de indiferenciada</t>
      </text>
    </comment>
    <comment ref="AE107" authorId="10" shapeId="0" xr:uid="{F08AAEC4-4792-408E-ACA0-9D63CAA35ACF}">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109" authorId="11" shapeId="0" xr:uid="{DE2E6137-1CE6-4D58-B397-F3180FC153D6}">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F116" authorId="5" shapeId="0" xr:uid="{5E40F297-FE56-4248-94BB-9BC327F3F4E3}">
      <text>
        <r>
          <rPr>
            <b/>
            <sz val="9"/>
            <color indexed="81"/>
            <rFont val="Segoe UI"/>
            <family val="2"/>
          </rPr>
          <t>Autor:</t>
        </r>
        <r>
          <rPr>
            <sz val="9"/>
            <color indexed="81"/>
            <rFont val="Segoe UI"/>
            <family val="2"/>
          </rPr>
          <t xml:space="preserve">
Resposta considerando segundo valor informado</t>
        </r>
      </text>
    </comment>
    <comment ref="AE137" authorId="12" shapeId="0" xr:uid="{A272C667-EFCC-45A3-AB77-B47B0E18EB16}">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142" authorId="13" shapeId="0" xr:uid="{AC8FA8E9-3B68-40D6-9BBD-1670FF4FEAFB}">
      <text>
        <t>[Comentário encadeado]
Sua versão do Excel permite que você leia este comentário encadeado, no entanto, as edições serão removidas se o arquivo for aberto em uma versão mais recente do Excel. Saiba mais: https://go.microsoft.com/fwlink/?linkid=870924
Comentário:
    Considerado que não possui coleta de indiferenciada</t>
      </text>
    </comment>
    <comment ref="AE146" authorId="14" shapeId="0" xr:uid="{D2491657-940B-44EC-850B-AA8E8A604D56}">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A162" authorId="5" shapeId="0" xr:uid="{847CE147-2AFE-4283-8927-44EAB30A7C98}">
      <text>
        <r>
          <rPr>
            <sz val="10"/>
            <color rgb="FF000000"/>
            <rFont val="Aptos Narrow"/>
            <family val="2"/>
            <scheme val="minor"/>
          </rPr>
          <t>O respondente atualizou este valor.</t>
        </r>
      </text>
    </comment>
    <comment ref="AD162" authorId="5" shapeId="0" xr:uid="{D03A3756-ED96-4C86-8C2C-F6BEBA52E97A}">
      <text>
        <r>
          <rPr>
            <sz val="10"/>
            <color rgb="FF000000"/>
            <rFont val="Aptos Narrow"/>
            <family val="2"/>
            <scheme val="minor"/>
          </rPr>
          <t>O respondente atualizou este valor.</t>
        </r>
      </text>
    </comment>
    <comment ref="AF162" authorId="5" shapeId="0" xr:uid="{B2D3C1C8-EFFF-45CD-87C4-0D5F99F2D59B}">
      <text>
        <r>
          <rPr>
            <sz val="10"/>
            <color rgb="FF000000"/>
            <rFont val="Aptos Narrow"/>
            <family val="2"/>
            <scheme val="minor"/>
          </rPr>
          <t>O respondente atualizou este valor.</t>
        </r>
      </text>
    </comment>
    <comment ref="AG162" authorId="5" shapeId="0" xr:uid="{F86ECEBC-DFC2-46EC-9C54-CA70907D2FCC}">
      <text>
        <r>
          <rPr>
            <sz val="10"/>
            <color rgb="FF000000"/>
            <rFont val="Aptos Narrow"/>
            <family val="2"/>
            <scheme val="minor"/>
          </rPr>
          <t>O respondente atualizou este valor.</t>
        </r>
      </text>
    </comment>
    <comment ref="AH162" authorId="5" shapeId="0" xr:uid="{C4A991DF-205C-4050-950C-C6ED98F5ABEA}">
      <text>
        <r>
          <rPr>
            <sz val="10"/>
            <color rgb="FF000000"/>
            <rFont val="Aptos Narrow"/>
            <family val="2"/>
            <scheme val="minor"/>
          </rPr>
          <t>O respondente atualizou este valor.</t>
        </r>
      </text>
    </comment>
    <comment ref="AI162" authorId="5" shapeId="0" xr:uid="{B8457B97-BC2D-4779-BFAA-7D1AF06AC6F7}">
      <text>
        <r>
          <rPr>
            <sz val="10"/>
            <color rgb="FF000000"/>
            <rFont val="Aptos Narrow"/>
            <family val="2"/>
            <scheme val="minor"/>
          </rPr>
          <t>O respondente atualizou este valor.</t>
        </r>
      </text>
    </comment>
    <comment ref="AJ162" authorId="5" shapeId="0" xr:uid="{9B62601B-A2D3-45B5-83A8-27F2813C86ED}">
      <text>
        <r>
          <rPr>
            <sz val="10"/>
            <color rgb="FF000000"/>
            <rFont val="Aptos Narrow"/>
            <family val="2"/>
            <scheme val="minor"/>
          </rPr>
          <t>O respondente atualizou este valor.</t>
        </r>
      </text>
    </comment>
    <comment ref="AL162" authorId="5" shapeId="0" xr:uid="{8BE9E4EC-782F-4CE9-81B2-3B2F1A63D236}">
      <text>
        <r>
          <rPr>
            <sz val="10"/>
            <color rgb="FF000000"/>
            <rFont val="Aptos Narrow"/>
            <family val="2"/>
            <scheme val="minor"/>
          </rPr>
          <t>O respondente atualizou este valor.</t>
        </r>
      </text>
    </comment>
    <comment ref="AM162" authorId="5" shapeId="0" xr:uid="{ED01B728-0D47-4CE6-AF66-3C23A4123325}">
      <text>
        <r>
          <rPr>
            <sz val="10"/>
            <color rgb="FF000000"/>
            <rFont val="Aptos Narrow"/>
            <family val="2"/>
            <scheme val="minor"/>
          </rPr>
          <t>O respondente atualizou este valor.</t>
        </r>
      </text>
    </comment>
    <comment ref="AN162" authorId="5" shapeId="0" xr:uid="{EC6B7F46-4F56-4217-8FF7-17FA247FC1C3}">
      <text>
        <r>
          <rPr>
            <sz val="10"/>
            <color rgb="FF000000"/>
            <rFont val="Aptos Narrow"/>
            <family val="2"/>
            <scheme val="minor"/>
          </rPr>
          <t>O respondente atualizou este valor.</t>
        </r>
      </text>
    </comment>
    <comment ref="AX162" authorId="5" shapeId="0" xr:uid="{9D1EC5E2-9DF4-4F9E-8177-CB4DC3C6EA3C}">
      <text>
        <r>
          <rPr>
            <sz val="10"/>
            <color rgb="FF000000"/>
            <rFont val="Aptos Narrow"/>
            <family val="2"/>
            <scheme val="minor"/>
          </rPr>
          <t>O respondente atualizou este valor.</t>
        </r>
      </text>
    </comment>
    <comment ref="AY162" authorId="5" shapeId="0" xr:uid="{5828F2B7-7CC3-4A28-AAFD-1AEB450A6E30}">
      <text>
        <r>
          <rPr>
            <sz val="10"/>
            <color rgb="FF000000"/>
            <rFont val="Aptos Narrow"/>
            <family val="2"/>
            <scheme val="minor"/>
          </rPr>
          <t>O respondente atualizou este valor.</t>
        </r>
      </text>
    </comment>
    <comment ref="BJ162" authorId="5" shapeId="0" xr:uid="{FF841054-A48D-4F8C-92A4-8F18B22E33FE}">
      <text>
        <r>
          <rPr>
            <sz val="10"/>
            <color rgb="FF000000"/>
            <rFont val="Aptos Narrow"/>
            <family val="2"/>
            <scheme val="minor"/>
          </rPr>
          <t>O respondente atualizou este valor.</t>
        </r>
      </text>
    </comment>
    <comment ref="BK162" authorId="5" shapeId="0" xr:uid="{5478CA03-EC95-4F87-BAF0-E9A676B40E7E}">
      <text>
        <r>
          <rPr>
            <sz val="10"/>
            <color rgb="FF000000"/>
            <rFont val="Aptos Narrow"/>
            <family val="2"/>
            <scheme val="minor"/>
          </rPr>
          <t>O respondente atualizou este valor.</t>
        </r>
      </text>
    </comment>
    <comment ref="BZ162" authorId="5" shapeId="0" xr:uid="{F6477A15-EE51-4AFE-B8CC-DD8DF39A2AE8}">
      <text>
        <r>
          <rPr>
            <sz val="10"/>
            <color rgb="FF000000"/>
            <rFont val="Aptos Narrow"/>
            <family val="2"/>
            <scheme val="minor"/>
          </rPr>
          <t>O respondente atualizou este valor.</t>
        </r>
      </text>
    </comment>
    <comment ref="CA162" authorId="5" shapeId="0" xr:uid="{FDB7F0F1-39BF-458A-8479-B4025BFAA8F1}">
      <text>
        <r>
          <rPr>
            <sz val="10"/>
            <color rgb="FF000000"/>
            <rFont val="Aptos Narrow"/>
            <family val="2"/>
            <scheme val="minor"/>
          </rPr>
          <t>O respondente atualizou este valor.</t>
        </r>
      </text>
    </comment>
    <comment ref="CB162" authorId="5" shapeId="0" xr:uid="{D5DB4A93-3FDB-4A0D-9FD9-C5A59E8F32BA}">
      <text>
        <r>
          <rPr>
            <sz val="10"/>
            <color rgb="FF000000"/>
            <rFont val="Aptos Narrow"/>
            <family val="2"/>
            <scheme val="minor"/>
          </rPr>
          <t>O respondente atualizou este valor.</t>
        </r>
      </text>
    </comment>
    <comment ref="CD162" authorId="5" shapeId="0" xr:uid="{79F2A8E0-B039-4879-B4C3-12AF62713228}">
      <text>
        <r>
          <rPr>
            <sz val="10"/>
            <color rgb="FF000000"/>
            <rFont val="Aptos Narrow"/>
            <family val="2"/>
            <scheme val="minor"/>
          </rPr>
          <t>O respondente atualizou este valor.</t>
        </r>
      </text>
    </comment>
    <comment ref="CF162" authorId="5" shapeId="0" xr:uid="{E287F584-E7AD-4841-A06A-8C616B02CCB1}">
      <text>
        <r>
          <rPr>
            <sz val="10"/>
            <color rgb="FF000000"/>
            <rFont val="Aptos Narrow"/>
            <family val="2"/>
            <scheme val="minor"/>
          </rPr>
          <t>O respondente atualizou este valor.</t>
        </r>
      </text>
    </comment>
    <comment ref="CG162" authorId="5" shapeId="0" xr:uid="{6356E636-1A68-43E0-8619-149A965ADB0C}">
      <text>
        <r>
          <rPr>
            <sz val="10"/>
            <color rgb="FF000000"/>
            <rFont val="Aptos Narrow"/>
            <family val="2"/>
            <scheme val="minor"/>
          </rPr>
          <t>O respondente atualizou este valor.</t>
        </r>
      </text>
    </comment>
    <comment ref="CH162" authorId="5" shapeId="0" xr:uid="{8592C5FD-4A57-425D-B254-D84657231A5C}">
      <text>
        <r>
          <rPr>
            <sz val="10"/>
            <color rgb="FF000000"/>
            <rFont val="Aptos Narrow"/>
            <family val="2"/>
            <scheme val="minor"/>
          </rPr>
          <t>O respondente atualizou este valor.</t>
        </r>
      </text>
    </comment>
    <comment ref="CJ162" authorId="5" shapeId="0" xr:uid="{6EE583CB-6869-4F52-9EF8-EB0D048A33DB}">
      <text>
        <r>
          <rPr>
            <sz val="10"/>
            <color rgb="FF000000"/>
            <rFont val="Aptos Narrow"/>
            <family val="2"/>
            <scheme val="minor"/>
          </rPr>
          <t>O respondente atualizou este valor.</t>
        </r>
      </text>
    </comment>
    <comment ref="CK162" authorId="5" shapeId="0" xr:uid="{46864139-4568-4D17-BC04-2505DA063779}">
      <text>
        <r>
          <rPr>
            <sz val="10"/>
            <color rgb="FF000000"/>
            <rFont val="Aptos Narrow"/>
            <family val="2"/>
            <scheme val="minor"/>
          </rPr>
          <t>O respondente atualizou este valor.</t>
        </r>
      </text>
    </comment>
    <comment ref="CN162" authorId="5" shapeId="0" xr:uid="{80530062-3AAE-4D5F-A623-BEFD93B83C87}">
      <text>
        <r>
          <rPr>
            <sz val="10"/>
            <color rgb="FF000000"/>
            <rFont val="Aptos Narrow"/>
            <family val="2"/>
            <scheme val="minor"/>
          </rPr>
          <t>O respondente atualizou este valor.</t>
        </r>
      </text>
    </comment>
    <comment ref="Q184" authorId="5" shapeId="0" xr:uid="{9FE15B33-D30F-4703-A6CB-73C825309E83}">
      <text>
        <r>
          <rPr>
            <sz val="10"/>
            <color rgb="FF000000"/>
            <rFont val="Aptos Narrow"/>
            <family val="2"/>
            <scheme val="minor"/>
          </rPr>
          <t>O respondente atualizou este valor.</t>
        </r>
      </text>
    </comment>
    <comment ref="AL184" authorId="5" shapeId="0" xr:uid="{05E9B2B7-CBB4-4C55-95D9-2DC22466D6CF}">
      <text>
        <r>
          <rPr>
            <sz val="10"/>
            <color rgb="FF000000"/>
            <rFont val="Aptos Narrow"/>
            <family val="2"/>
            <scheme val="minor"/>
          </rPr>
          <t>O respondente atualizou este valor.</t>
        </r>
      </text>
    </comment>
    <comment ref="AN184" authorId="5" shapeId="0" xr:uid="{EBAC3BC4-DF19-47EC-972F-155133E46EF6}">
      <text>
        <r>
          <rPr>
            <sz val="10"/>
            <color rgb="FF000000"/>
            <rFont val="Aptos Narrow"/>
            <family val="2"/>
            <scheme val="minor"/>
          </rPr>
          <t>O respondente atualizou este valor.</t>
        </r>
      </text>
    </comment>
    <comment ref="AY184" authorId="5" shapeId="0" xr:uid="{0B8BB9C1-DC5B-4FF4-BF57-05F76A59464C}">
      <text>
        <r>
          <rPr>
            <sz val="10"/>
            <color rgb="FF000000"/>
            <rFont val="Aptos Narrow"/>
            <family val="2"/>
            <scheme val="minor"/>
          </rPr>
          <t>O respondente atualizou este valor.</t>
        </r>
      </text>
    </comment>
    <comment ref="BD184" authorId="5" shapeId="0" xr:uid="{55120F61-1728-4B4E-92BF-A6915636F54B}">
      <text>
        <r>
          <rPr>
            <sz val="10"/>
            <color rgb="FF000000"/>
            <rFont val="Aptos Narrow"/>
            <family val="2"/>
            <scheme val="minor"/>
          </rPr>
          <t>O respondente atualizou este valor.</t>
        </r>
      </text>
    </comment>
    <comment ref="BN184" authorId="5" shapeId="0" xr:uid="{CA4A7E96-5D2A-476E-9138-DC908E6ED4EC}">
      <text>
        <r>
          <rPr>
            <sz val="10"/>
            <color rgb="FF000000"/>
            <rFont val="Aptos Narrow"/>
            <family val="2"/>
            <scheme val="minor"/>
          </rPr>
          <t>O respondente atualizou este valor.</t>
        </r>
      </text>
    </comment>
    <comment ref="BO184" authorId="5" shapeId="0" xr:uid="{6C606A8E-E63F-4E6B-8226-C96E7BC0F57C}">
      <text>
        <r>
          <rPr>
            <sz val="10"/>
            <color rgb="FF000000"/>
            <rFont val="Aptos Narrow"/>
            <family val="2"/>
            <scheme val="minor"/>
          </rPr>
          <t>O respondente atualizou este valor.</t>
        </r>
      </text>
    </comment>
    <comment ref="CK184" authorId="5" shapeId="0" xr:uid="{85385F26-250A-4306-AAA0-3A2C8C21AD4E}">
      <text>
        <r>
          <rPr>
            <sz val="10"/>
            <color rgb="FF000000"/>
            <rFont val="Aptos Narrow"/>
            <family val="2"/>
            <scheme val="minor"/>
          </rPr>
          <t>O respondente atualizou este valor.</t>
        </r>
      </text>
    </comment>
    <comment ref="CV184" authorId="5" shapeId="0" xr:uid="{E3CF4ACF-7C4A-45AC-B369-A8E347B51E08}">
      <text>
        <r>
          <rPr>
            <sz val="10"/>
            <color rgb="FF000000"/>
            <rFont val="Aptos Narrow"/>
            <family val="2"/>
            <scheme val="minor"/>
          </rPr>
          <t>O respondente atualizou este valor.</t>
        </r>
      </text>
    </comment>
    <comment ref="AE212" authorId="15" shapeId="0" xr:uid="{4F12C944-237D-420D-B909-80223FDD323B}">
      <text>
        <t>[Comentário encadeado]
Sua versão do Excel permite que você leia este comentário encadeado, no entanto, as edições serão removidas se o arquivo for aberto em uma versão mais recente do Excel. Saiba mais: https://go.microsoft.com/fwlink/?linkid=870924
Comentário:
    Considerado que não possui coleta de indiferenciada</t>
      </text>
    </comment>
    <comment ref="AE223" authorId="16" shapeId="0" xr:uid="{A360750C-8E09-42C5-9F8C-972E10893A50}">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228" authorId="17" shapeId="0" xr:uid="{89F1F1CE-7C1F-41CD-AA77-1D06135EC46F}">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D245" authorId="18" shapeId="0" xr:uid="{A49A6923-7AE7-462C-A072-38A1B60A797F}">
      <text>
        <t>[Comentário encadeado]
Sua versão do Excel permite que você leia este comentário encadeado, no entanto, as edições serão removidas se o arquivo for aberto em uma versão mais recente do Excel. Saiba mais: https://go.microsoft.com/fwlink/?linkid=870924
Comentário:
    Considerado 0%, uma vez que na pergunta seguinte é respondido que não há coleta indiferenciada na área rural</t>
      </text>
    </comment>
    <comment ref="AA253" authorId="19" shapeId="0" xr:uid="{039BCD81-98C7-4084-A903-8D721F93F04C}">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253" authorId="20" shapeId="0" xr:uid="{D66808B1-6F15-4090-96D1-E8ABD2B44C71}">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Z264" authorId="21" shapeId="0" xr:uid="{2E949AF1-7A26-41E0-9032-203D56D84504}">
      <text>
        <t>[Comentário encadeado]
Sua versão do Excel permite que você leia este comentário encadeado, no entanto, as edições serão removidas se o arquivo for aberto em uma versão mais recente do Excel. Saiba mais: https://go.microsoft.com/fwlink/?linkid=870924
Comentário:
    Considerado como 0%, uma vez que na pergunta seguinte foi informado que não há coleta indiferenciada, somente coletiva</t>
      </text>
    </comment>
    <comment ref="AD264" authorId="22" shapeId="0" xr:uid="{0EB42107-70B2-4F6B-A40D-F89B413AE5CE}">
      <text>
        <t>[Comentário encadeado]
Sua versão do Excel permite que você leia este comentário encadeado, no entanto, as edições serão removidas se o arquivo for aberto em uma versão mais recente do Excel. Saiba mais: https://go.microsoft.com/fwlink/?linkid=870924
Comentário:
    Considerado 0%, uma vez que na pergunta seguinte é respondido que não há coleta indiferenciada na área rural</t>
      </text>
    </comment>
    <comment ref="AE268" authorId="23" shapeId="0" xr:uid="{0930A1A8-CD46-43EC-907A-DD5704A15379}">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286" authorId="24" shapeId="0" xr:uid="{45D4DF85-B65D-4EE9-BE40-987109CBA00D}">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292" authorId="25" shapeId="0" xr:uid="{B33E3B2B-BFAD-4A18-AF53-347E4F0CAE66}">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CS294" authorId="5" shapeId="0" xr:uid="{EE4B2977-B049-46C5-827C-613472CB59AB}">
      <text>
        <r>
          <rPr>
            <sz val="10"/>
            <color rgb="FF000000"/>
            <rFont val="Aptos Narrow"/>
            <family val="2"/>
            <scheme val="minor"/>
          </rPr>
          <t>O respondente atualizou este valor.</t>
        </r>
      </text>
    </comment>
    <comment ref="CT294" authorId="5" shapeId="0" xr:uid="{20A47FDC-0AF0-4FF3-AFFB-C353B29CF0DA}">
      <text>
        <r>
          <rPr>
            <sz val="10"/>
            <color rgb="FF000000"/>
            <rFont val="Aptos Narrow"/>
            <family val="2"/>
            <scheme val="minor"/>
          </rPr>
          <t>O respondente atualizou este valor.</t>
        </r>
      </text>
    </comment>
    <comment ref="AE305" authorId="26" shapeId="0" xr:uid="{33909D7B-CEE4-414E-A9D3-15F02131D830}">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19" authorId="27" shapeId="0" xr:uid="{E5A99A2F-76FE-4EC4-AB75-14C383C88D93}">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A353" authorId="28" shapeId="0" xr:uid="{470CE65D-C966-4460-B445-AF695D071585}">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53" authorId="29" shapeId="0" xr:uid="{715A149A-8491-40D1-B457-8F380864C9FF}">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60" authorId="30" shapeId="0" xr:uid="{1750D405-2919-4004-95B2-C9FE9B43C754}">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71" authorId="31" shapeId="0" xr:uid="{3C43E9F8-EC2C-4427-ABAD-F5A3A19329BA}">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A376" authorId="32" shapeId="0" xr:uid="{98B03068-CB4D-42A7-9706-474BB14A8577}">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76" authorId="33" shapeId="0" xr:uid="{A7A3B1F9-E780-4F37-B769-255B97D70D71}">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89" authorId="34" shapeId="0" xr:uid="{A4D61376-C10C-4714-BBF3-2BE0D3EA0C2E}">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93" authorId="35" shapeId="0" xr:uid="{3E3F4256-8180-40C4-B727-CD63554277FB}">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 ref="AE396" authorId="36" shapeId="0" xr:uid="{22C8D982-7927-4D83-B502-423E8F27A752}">
      <text>
        <t>[Comentário encadeado]
Sua versão do Excel permite que você leia este comentário encadeado, no entanto, as edições serão removidas se o arquivo for aberto em uma versão mais recente do Excel. Saiba mais: https://go.microsoft.com/fwlink/?linkid=870924
Comentário:
    Como foi respondido que 0% da população era atendida por coleta indiferenciada, esse município foi contabilizado no item "não possui coleta indiferenciada" e não no item respondido</t>
      </text>
    </comment>
  </commentList>
</comments>
</file>

<file path=xl/sharedStrings.xml><?xml version="1.0" encoding="utf-8"?>
<sst xmlns="http://schemas.openxmlformats.org/spreadsheetml/2006/main" count="50392" uniqueCount="6662">
  <si>
    <t>COD. UF (IBGE)</t>
  </si>
  <si>
    <t>COD. MUNIC (IBGE)</t>
  </si>
  <si>
    <t>NOME DO MUNICÍPIO (IBGE)</t>
  </si>
  <si>
    <t>POPULAÇÃO ESTIMADA (IBGE)</t>
  </si>
  <si>
    <t>Respondido</t>
  </si>
  <si>
    <t>O município participa de consórcio público intermunicipal de gestão de RSU ou multifinalitário?</t>
  </si>
  <si>
    <t>De qual Consórcio o Município participa?</t>
  </si>
  <si>
    <t>Qual é o município Sede do consórcio?</t>
  </si>
  <si>
    <t>Quais são as ações consorciadas?</t>
  </si>
  <si>
    <t>O município utiliza aterro sanitário do consórcio ou contratado pelo consórcio?</t>
  </si>
  <si>
    <t>Qual é o nome do município SEDE DO ATERRO SANITÁRIO do consórcio?</t>
  </si>
  <si>
    <t>O município possui legislação ou norma para os grandes geradores?</t>
  </si>
  <si>
    <t>Caso a resposta anterior seja "sim", favor informar qual é o ato legal, n° e ano de publicação.</t>
  </si>
  <si>
    <t>O Município exige Plano de Gerenciamento de Resíduos Sólidos dos geradores de:
Ver Art. 20 da Lei nº 12305/2010</t>
  </si>
  <si>
    <t>O município realiza a coleta de grandes geradores?</t>
  </si>
  <si>
    <t>O município realiza cobrança de taxa ou tarifa específica/diferenciada para grandes geradores?</t>
  </si>
  <si>
    <t>O município possui Plano de Saneamento Básico?</t>
  </si>
  <si>
    <t>Qual o ato legal (lei, decreto, número e ano de publicação) que instituiu o Plano Municipal de Saneamento Básico?</t>
  </si>
  <si>
    <t xml:space="preserve">Qual o ato legal  (lei, decreto, número e ano de publicação) que instituiu o Plano Regional de Saneamento Básico? </t>
  </si>
  <si>
    <t>O município possui Plano Municipal de Gestão Integrada de Resíduos Sólidos?</t>
  </si>
  <si>
    <t>Qual o ato legal  (lei, decreto, número e ano de publicação) que instituiu o Plano Municipal de Gestão Integrada de Resíduos Sólidos?
Caso não haja, favor escrever "Não há."</t>
  </si>
  <si>
    <t>Quais itens ou infraestruturas o Plano Municipal de Gestão Integrada de Resíduos Sólidos descreve como necessária para ampliação dos serviços de manejo de RSU?</t>
  </si>
  <si>
    <t>Possui Programa Municipal de Educação Ambiental para a gestão de resíduos sólidos urbanos (PMEARSU) elaborado seguindo o termo de referência da SEDEST, Instituto Água e Terra e Ministério Público?</t>
  </si>
  <si>
    <t>O Município possui Plano Municipal de Gestão de Resíduos da Construção Civil?
Ver Resolução CONAMA nº 307/2002</t>
  </si>
  <si>
    <t xml:space="preserve">Qual o ato legal  (lei, decreto, número e ano de publicação) que instituiu o Plano Municipal de Gestão de Resíduos da Construção Civil?
Caso não haja, favor escrever "Não há."
</t>
  </si>
  <si>
    <t>Qual o percentual da população da área urbana atendida pela coleta de RSU (coleta indiferenciada - convencional) ?</t>
  </si>
  <si>
    <t>Qual é o tipo de operador responsável pela coleta urbana de RSU (coleta indiferenciada - convencional)?</t>
  </si>
  <si>
    <t>O Município realiza a coleta conteinerizada de RSU (coleta indiferenciada - convencional) na área urbana?</t>
  </si>
  <si>
    <t>O município realiza coleta de RSU (coleta indiferenciada - convencional) na área rural?</t>
  </si>
  <si>
    <t>Qual o percentual da população da área rural atendida pela coleta de RSU (coleta indiferenciada - convencional) ?</t>
  </si>
  <si>
    <t>Qual é o tipo de operador responsável pela coleta rural?</t>
  </si>
  <si>
    <t>O Município possui estudo da composição gravimétrica da quantidade TOTAL de RSU (coleta indiferenciada - convencional) destinada ao aterro sanitário?</t>
  </si>
  <si>
    <t>A partir da quantidade TOTAL de RSU (coleta indiferenciada - convencional) destinada ao aterro sanitário, qual a % de ORGÂNICOS?</t>
  </si>
  <si>
    <t>A partir da quantidade TOTAL de RSU (coleta indiferenciada - convencional) destinada ao aterro sanitário, qual a % de RECICLÁVEIS?</t>
  </si>
  <si>
    <t>A partir da quantidade TOTAL de RSU (coleta indiferenciada - convencional) destinada ao aterro sanitário, qual a % de REJEITOS (composição gravimétrica):</t>
  </si>
  <si>
    <t>O município realiza a coleta ou possui Ponto de Entrega Voluntária/Ecoponto para a entrega de resíduos de construção civil?</t>
  </si>
  <si>
    <t>Qual a quantidade coletada ou recebida de RCC?</t>
  </si>
  <si>
    <t>Qual a destinação dos resíduos provenientes da construção civil?</t>
  </si>
  <si>
    <t>Qual a quantidade de resíduos de RCC é encaminhada para a destinação final ambientalmente adequada?</t>
  </si>
  <si>
    <t xml:space="preserve">O município possui sistema online que possibilite o rastreamento da geração, transporte e destinação de Resíduos da Construção Civil? </t>
  </si>
  <si>
    <t>O município utiliza unidade de transbordo para RSU (coleta indiferenciada - convencional)?</t>
  </si>
  <si>
    <t>Qual o tipo de licença ambiental e o n° da licença da unidade de transbordo?</t>
  </si>
  <si>
    <t xml:space="preserve">Qual o endereço da unidade de transbordo?
</t>
  </si>
  <si>
    <t xml:space="preserve">Quais são as coordenadas geográficas da unidade de transbordo?
</t>
  </si>
  <si>
    <t>O município realiza algum tipo de ação para compostagem dos resíduos orgânicos?</t>
  </si>
  <si>
    <t>O município realiza coleta ESPECÍFICA (veículo exclusivo) de resíduos verdes (oriundos de PODAS E JARDINAGEM) para compostagem?</t>
  </si>
  <si>
    <t xml:space="preserve">O município  tem ecoponto (ponto de entrega voluntária) de resíduos  verdes (oriundos de PODAS E JARDINAGEM) para compostagem? </t>
  </si>
  <si>
    <t>Qual o tipo de destinação dada aos resíduos verdes (oriundos de PODAS E JARDINAGEM) coletados de forma ESPECÍFICA?</t>
  </si>
  <si>
    <t xml:space="preserve">O composto orgânico gerado de resíduos verdes (oriundos de PODAS E JARDINAGEM) é utilizado para quê? </t>
  </si>
  <si>
    <t>Qual a quantidade de resíduos verdes (oriundos de PODAS E JARDINAGEM) COLETADOS PARA FINS DE COMPOSTAGEM?
Caso não faça o tratamento, informar "0".</t>
  </si>
  <si>
    <t>O município realiza coleta ESPECÍFICA (veículo exclusivo) de resíduos orgânicos (SOBRAS ALIMENTARES)?</t>
  </si>
  <si>
    <t>O município  tem ecoponto (ponto de entrega voluntária) de resíduos orgânicos (SOBRAS ALIMENTARES) ?</t>
  </si>
  <si>
    <t>O município realiza qual tipo de destinação de resíduos orgânicos (SOBRAS ALIMENTARES) COLETADOS de forma ESPECÍFICA (veículo exclusivo)?</t>
  </si>
  <si>
    <t xml:space="preserve">O composto orgânico proveniente de SOBRAS ALIMENTARES é utilizado para quê? </t>
  </si>
  <si>
    <t>Qual a quantidade de resíduos orgânicos (exclusivo de SOBRAS ALIMENTARES) DESTINADOS À COMPOSTAGEM?
Caso não faça o tratamento, informar "0".</t>
  </si>
  <si>
    <t>Qual o percentual da população da área urbana atendida pela coleta seletiva formal?</t>
  </si>
  <si>
    <t>Qual o formato de coleta seletiva formal na área urbana?</t>
  </si>
  <si>
    <t>Quem realiza a coleta seletiva formal na área urbana?</t>
  </si>
  <si>
    <t>Caso a coleta seja realizada por Associações e Cooperativas de Catadores, qual o tipo de parceria com a prefeitura?</t>
  </si>
  <si>
    <t xml:space="preserve">Caso a triagem seja realizada por Associações e Cooperativas de Catadores, qual o tipo de parceria com a prefeitura? </t>
  </si>
  <si>
    <t>O município realiza coleta seletiva formal na área rural?</t>
  </si>
  <si>
    <t>Qual o percentual da população da área rural atendida pela coleta seletiva formal?</t>
  </si>
  <si>
    <t>Qual o formato de coleta seletiva formal na área rural?</t>
  </si>
  <si>
    <t>Quem realiza a coleta seletiva formal na área rural?</t>
  </si>
  <si>
    <t>Informar quantidade de catadores de materiais recicláveis cadastrados no CadÚnico:</t>
  </si>
  <si>
    <t xml:space="preserve">Informar quantidade de catadores de materiais recicláveis que não estão cadastrados no CadÚnico: </t>
  </si>
  <si>
    <t>O município possui área de disposição final no seu território?</t>
  </si>
  <si>
    <t>Se a resposta anterior for não, qual é o município que tem área de disposição final utilizada por sua cidade?</t>
  </si>
  <si>
    <t>Quais a coordenadas geográficas da área de disposição final (dentro ou fora do território do Município)?</t>
  </si>
  <si>
    <t>Qual o endereço da área de disposição final?</t>
  </si>
  <si>
    <t>Caso a disposição final ocorra em outro Município, qual o tipo de área?</t>
  </si>
  <si>
    <t>A área de disposição final é operada por quem?</t>
  </si>
  <si>
    <t>Sobre a área de disposição final:</t>
  </si>
  <si>
    <t>Antes da disposição final dos resíduos sólidos urbanos da coleta indiferenciada (convencional), o Município realiza algum dos tipos de tratamento abaixo?</t>
  </si>
  <si>
    <t xml:space="preserve">Caso o Município realize triagem manual ou mecanizada dos resíduos sólidos da coleta indiferenciada (convencional), qual(s) a(s) rota(s) tecnológica(s) adotada(s) para a destinação das frações triadas? </t>
  </si>
  <si>
    <t>Caso seja realizada a triagem dos resíduos sólidos da coleta indiferenciada (convencional), essa é feita por Cooperativa/Associação, pelo próprio município ou por empresa privada?</t>
  </si>
  <si>
    <t>Qual o tipo de licença ambiental e número da licença da área de disposição final?
*Se não houver, descrever "não há"</t>
  </si>
  <si>
    <t xml:space="preserve">Quantidade de resíduos sólidos urbanos provenientes da coleta indiferenciada (convencional) DESTINADOS para disposição final?
</t>
  </si>
  <si>
    <t xml:space="preserve">Como o município realiza a cobrança de taxa/tarifa específica para os serviços de coleta, transbordo, transporte, triagem, tratamento e destinação final de resíduos sólidos urbanos? </t>
  </si>
  <si>
    <t>Quais os critérios considerados para o estabelecimento da taxa/tarifa dos serviços de manejo de resíduos sólidos urbanos?</t>
  </si>
  <si>
    <t>Qual norma regulamenta a cobrança de taxa ou tarifa? (Tipo. nº e ano. Exemplo: Lei nº 145/2024)</t>
  </si>
  <si>
    <t>Qual o fator que regula a cobrança da tarifa ou taxa?</t>
  </si>
  <si>
    <t>Qual o valor anual da receita ARRECADADA em 2024 com taxas e tarifas referentes  serviços de coleta, transbordo , transporte, triagem, tratamento e destinação final de resíduos sólidos urbanos?</t>
  </si>
  <si>
    <t>Qual o valor da DESPESA em 2024 com os serviços de coleta, transbordo , transporte, triagem, tratamento e destinação final de resíduos sólidos urbanos?</t>
  </si>
  <si>
    <t>Custos associados à COLETA INDIFERENCIADA CONVENCIONAL?</t>
  </si>
  <si>
    <t>Custos associados à operação de TRANSBORDO?</t>
  </si>
  <si>
    <t>Custos associados à DISPOSIÇÃO FINAL dos resíduos da coleta indiferenciada (convencional)?</t>
  </si>
  <si>
    <t>Custos associados à COLETA SELETIVA DE MATERIAIS RECICLÁVEIS?</t>
  </si>
  <si>
    <t>Custos associados à TRIAGEM DE MATERIAIS RECICLÁVEIS (caso haja contrato/ convênio com associação ou cooperativa de catadores)?</t>
  </si>
  <si>
    <t>Custos associados à DESTINAÇÃO FINAL de rejeitos provenientes da coleta seletiva gerados pelas associações e cooperativas de catadores?</t>
  </si>
  <si>
    <t>Custos associados à coleta de RESÍDUOS ORGÂNICOS (PODAS E JARDINAGEM)?</t>
  </si>
  <si>
    <t>Custos associados à compostagem de RESÍDUOS ORGÂNICOS (PODAS E JARDINAGEM)?</t>
  </si>
  <si>
    <t>Custos associados à coleta de RESÍDUOS ORGÂNICOS (ALIMENTARES)?</t>
  </si>
  <si>
    <t>Custos associados à compostagem de RESÍDUOS ORGÂNICOS (ALIMENTARES)?</t>
  </si>
  <si>
    <t xml:space="preserve">O Município instituiu Órgão ou entidade ou delegou competências no que concerne à REGULAÇÃO DO SMRSU (Serviço Público de Manejo de Resíduos Sólidos Urbanos que compreendem as atividades de coleta, transbordo, transporte, triagem para fins de reutilização ou reciclagem, tratamento e destinação final dos resíduos sólidos urbanos)? </t>
  </si>
  <si>
    <t xml:space="preserve">Qual mecanismo de controle social foi instituído para os serviços de saneamento básico que garanta à sociedade: Informações, Representações técnicas, Participação na formulação de políticas, Participação no planejamento, Participação na avaliação de serviços públicos?
</t>
  </si>
  <si>
    <t>Quais sistemas de logística reversa aprovados pela SEDEST implantaram unidades de recebimento (ecopontos) ou coletas itinerantes no Município?</t>
  </si>
  <si>
    <t>Quais sistemas de logística reversa de embalagens em geral e do setor de papel e celulose aprovados pela SEDEST detêm parcerias com associações e cooperativas de catadores por meio de Certificado de Crédito de Reciclagem de Logística Reversa - CCRLR, Certificado de Estruturação e Reciclagem de Embalagens em    Geral - CERE e Certificado de Crédito de Massa Futura (Decreto Federal nº 11413/2023)?</t>
  </si>
  <si>
    <t xml:space="preserve">Para quais resíduos da logística reversa o Município executa os serviços de coleta, transporte ou destinação final sem a devida a remuneração pelos custos dos serviços executados? </t>
  </si>
  <si>
    <t>O Município possui área degradada ou contaminada decorrente do encerramento de lixão, aterro ou local similar decorrente do manejo de resíduos? Se sim, qual a melhor opção a caracteriza?</t>
  </si>
  <si>
    <t>Caso possua conhecimento, informar coordenadas do(s) local(is).</t>
  </si>
  <si>
    <t>Caso o Município possua licença ambiental ou nº de protocolo referente à área degradada ou contaminada decorrente do manejo de resíduos, informar no campo abaixo:</t>
  </si>
  <si>
    <t>Declaração para fins de uso de Dados</t>
  </si>
  <si>
    <t>Declaração de Veracidade dos dados</t>
  </si>
  <si>
    <t>Adrianópolis</t>
  </si>
  <si>
    <t>00202</t>
  </si>
  <si>
    <t>Sim</t>
  </si>
  <si>
    <t>Consórcio Intermunicipal para Gestão dos Resíduos Sólidos Urbanos - CONRESOL</t>
  </si>
  <si>
    <t>Curitiba</t>
  </si>
  <si>
    <t>Disposição final</t>
  </si>
  <si>
    <t>Fazenda Rio Grande</t>
  </si>
  <si>
    <t>Não possui</t>
  </si>
  <si>
    <t>O município não exige Plano de Gerenciamento de Resíduos Sólidos</t>
  </si>
  <si>
    <t>Não</t>
  </si>
  <si>
    <t>Não há</t>
  </si>
  <si>
    <t>Não possui.</t>
  </si>
  <si>
    <t>Poder público</t>
  </si>
  <si>
    <t>Sim, mas possui disponibilidade para realizar apenas em parte da área urbana.</t>
  </si>
  <si>
    <t>Em alguns distritos da área rural.</t>
  </si>
  <si>
    <t>Não realiza coleta ou o recebimento</t>
  </si>
  <si>
    <t>Área de triagem e transbordo de RCC</t>
  </si>
  <si>
    <t>Km7 da Br476</t>
  </si>
  <si>
    <t>24° 41.955'S  49° 0.630'O</t>
  </si>
  <si>
    <t>Ainda não realiza nenhuma ação</t>
  </si>
  <si>
    <t>Aterro Sanitário</t>
  </si>
  <si>
    <t>Outra destinação</t>
  </si>
  <si>
    <t>000</t>
  </si>
  <si>
    <t>NÃO HÁ</t>
  </si>
  <si>
    <t>Não.</t>
  </si>
  <si>
    <t>25° 39.416'S  49° 20.606'O</t>
  </si>
  <si>
    <t>Av. Nossa Senhora Aparecida, 3188 - Santa Terezinha, Fazenda Rio Grande - PR, 83829-308</t>
  </si>
  <si>
    <t>Aterro controlado</t>
  </si>
  <si>
    <t>Empresa privada (terceirizada)</t>
  </si>
  <si>
    <t>Há canalização do gás,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</si>
  <si>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Não realiza.</t>
  </si>
  <si>
    <t>Não realiza</t>
  </si>
  <si>
    <t>Desconheço</t>
  </si>
  <si>
    <t>NÃO REALIZA</t>
  </si>
  <si>
    <t>Não realiza a cobrança.</t>
  </si>
  <si>
    <t>Não delegou</t>
  </si>
  <si>
    <t>Conselho Municipal de Meio Ambiente e ou Saneamento Ambiental</t>
  </si>
  <si>
    <t>Possui área degradada ou contaminada</t>
  </si>
  <si>
    <t xml:space="preserve"> 24° 42.914'S/ 48° 59.816'O</t>
  </si>
  <si>
    <t>N/A</t>
  </si>
  <si>
    <t>Declaro que as informações fornecidas neste formulário são verdadeiras e, em casos de valores estimados, o mais próximo do real. Dou meu consentimento para o uso e processamento desses dados de acordo com a Lei Federal nº 13.709/2018 e regulamentos aplicáveis.</t>
  </si>
  <si>
    <t>Estou ciente de que qualquer falsidade nas informações prestadas pode resultar em consequências legais conforme as especificações do Código Penal Decreto-lei nº 2.848/1940 e/ou outras legislações pertinentes. .</t>
  </si>
  <si>
    <t>Almirante Tamandaré</t>
  </si>
  <si>
    <t>00400</t>
  </si>
  <si>
    <t>consorcio intermunicipal para gestao de residuos solidos urbanos</t>
  </si>
  <si>
    <t>Lei Municipal</t>
  </si>
  <si>
    <t>codigo de posturas lei complementar 13/2009</t>
  </si>
  <si>
    <t>Resíduos de serviços de saúde</t>
  </si>
  <si>
    <t>Plano Regional de Saneamento Básico</t>
  </si>
  <si>
    <t>Lei 2302/2022</t>
  </si>
  <si>
    <t>Nao há</t>
  </si>
  <si>
    <t>Lei 2420/2024</t>
  </si>
  <si>
    <t>Unidade de Compostagem, Ecopontos ou Pontos de Entrega Voluntária, Equipamentos para a unidade de compostagem</t>
  </si>
  <si>
    <t>não há</t>
  </si>
  <si>
    <t>Sim, possui disponibilidade para realizar em toda a área urbana.</t>
  </si>
  <si>
    <t>Ambos</t>
  </si>
  <si>
    <t>Empresas de caçambas destinam por conta propria</t>
  </si>
  <si>
    <t>licença de operaçao</t>
  </si>
  <si>
    <t>Rodovia do Contorno Norte 6154</t>
  </si>
  <si>
    <t>-25.346098 -49.273144</t>
  </si>
  <si>
    <t>Outros</t>
  </si>
  <si>
    <t>Outro uso</t>
  </si>
  <si>
    <t>Outra finalidade</t>
  </si>
  <si>
    <t>Porta-a-porta</t>
  </si>
  <si>
    <t>Não é realizada por associações e cooperativas</t>
  </si>
  <si>
    <t>Termo de Colaboração, Fomento ou outro com repasse financeiro</t>
  </si>
  <si>
    <t>-25.3188  -49.3037</t>
  </si>
  <si>
    <t>Nossa Senhora Aparecida, 3188</t>
  </si>
  <si>
    <t>Aterro sanitário</t>
  </si>
  <si>
    <t>Empresa privada (via consórcio)</t>
  </si>
  <si>
    <t>Há canalização do gás, Há flare/queimador dos gases gerados, sem aproveitamento energético, Há aproveitamento energético do gás gerado (geradores),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</si>
  <si>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não realiza</t>
  </si>
  <si>
    <t>Conta de água</t>
  </si>
  <si>
    <t>Valor fixo por imóvel.</t>
  </si>
  <si>
    <t>Decreto n° 132/2023</t>
  </si>
  <si>
    <t>Outro</t>
  </si>
  <si>
    <t>Agência Reguladora do Paraná (AGEPAR) - Estadual</t>
  </si>
  <si>
    <t>1. Agrotóxicos, seus resíduos e embalagens - InpEV - Instituto Nacional de Processamento de Embalagens Vazias, 5. Eletroeletrônicos e seus componentes - Elgin SA., 8. Lâmpadas fluorescentes, de vapor de sódio e mercúrio e de luz mista - RECICLUS - Associação Brasileira para Gestão da Logística Reversa de Produtos de Iluminação;, 9. Medicamentos de uso humano - BHS Comercio e Serviços de Produtos para Saúde LTDA.;, 15. Perfurocortantes do GRUPO E, incluindo seringas e canetas injetoras - BHS Comércio e Serviços de Produtos para Saúde LTDA., 17. Pneus inservíveis - Associação RECICLANIP</t>
  </si>
  <si>
    <t>8. Associação Nacional dos Catadores e Catadoras de Materiais Recicláveis – ANCAT;</t>
  </si>
  <si>
    <t>Agrotóxicos, seus resíduos e embalagens, Lâmpadas fluorescentes, de vapor de sódio e mercúrio e de luz mista, Medicamentos de uso humano, Óleo Lubrificante e Embalagens de óleos lubrificantes, Perfurocortantes do GRUPO E, incluindo seringas e canetas injetoras, Pneus inservíveis, Móveis, colchões e demais resíduos volumosos</t>
  </si>
  <si>
    <t>Possui área, já realizou o estudo de caracterização e finalizou os procedimentos de recuperação do local</t>
  </si>
  <si>
    <t>-25.352239  -49.340048</t>
  </si>
  <si>
    <t>23600</t>
  </si>
  <si>
    <t>Santa Inês</t>
  </si>
  <si>
    <t>Altamira do Paraná</t>
  </si>
  <si>
    <t>00459</t>
  </si>
  <si>
    <t>Não participa de nenhum consórcio</t>
  </si>
  <si>
    <t>não possui</t>
  </si>
  <si>
    <t xml:space="preserve">não possui </t>
  </si>
  <si>
    <t>Nenhuma</t>
  </si>
  <si>
    <t xml:space="preserve">não participa de consorcio voltado a resíduos sólidos </t>
  </si>
  <si>
    <t>Plano Municipal de Saneamento Básico</t>
  </si>
  <si>
    <t>Lei 562/2017 de 29/09/2017</t>
  </si>
  <si>
    <t>Lei 591/2019 de 17/04/2019</t>
  </si>
  <si>
    <t xml:space="preserve">Veículos para coleta indiferenciada (convencional), Veículos para coleta seletiva de materiais recicláveis, Veículos para coleta de resíduos orgânicos provenientes de podas e jardinagem, Unidade de Triagem de Materiais Recicláveis, Unidade de Transbordo, área de RCC, área de material vegetal </t>
  </si>
  <si>
    <t>Possui e segue o termo de referência.</t>
  </si>
  <si>
    <t>Realiza coleta de vias públicas e descartes irregulares</t>
  </si>
  <si>
    <t>LAS n °307098</t>
  </si>
  <si>
    <t>Estrada da Bota km 02</t>
  </si>
  <si>
    <t>-24,814328°   -52,703549°</t>
  </si>
  <si>
    <t>Trituração e compostagem dos resíduos verdes (provenientes de podas e jardinagem)</t>
  </si>
  <si>
    <t>Trituração e compostagem em leiras, Outros</t>
  </si>
  <si>
    <t>Doados à população</t>
  </si>
  <si>
    <t>Não há documento de formalização da parceria</t>
  </si>
  <si>
    <t>Em alguns distritos</t>
  </si>
  <si>
    <t>Conteinerizada</t>
  </si>
  <si>
    <t>Poder Público</t>
  </si>
  <si>
    <t>Sem informação</t>
  </si>
  <si>
    <t>Guarapuava, Paraná</t>
  </si>
  <si>
    <t>-25,279541°  -51,539106°</t>
  </si>
  <si>
    <t>Rodovia PR 466 Km 13, Guarapuava-Pr.</t>
  </si>
  <si>
    <t xml:space="preserve">não temos a informação, porém tem licenciamento ambiental para operação de aterro sanitário </t>
  </si>
  <si>
    <t>Boleto específico</t>
  </si>
  <si>
    <t>Características dos lotes (dimensões, área edificável, localização, potencial construtivo, etc.)</t>
  </si>
  <si>
    <t>Lei 025/90 de 23/11/1990 e suas alterações</t>
  </si>
  <si>
    <t>Área da edificação</t>
  </si>
  <si>
    <t>00</t>
  </si>
  <si>
    <t>499.00</t>
  </si>
  <si>
    <t>Conselho Municipal de Meio Ambiente e ou Saneamento Ambiental, Outro Conselho Municipal</t>
  </si>
  <si>
    <t>1. Agrotóxicos, seus resíduos e embalagens - InpEV - Instituto Nacional de Processamento de Embalagens Vazias</t>
  </si>
  <si>
    <t>Baterias de chumbo ácido, Eletroeletrônicos e seus componentes, Embalagens em geral, Lâmpadas fluorescentes, de vapor de sódio e mercúrio e de luz mista, Medicamentos de uso humano, Perfurocortantes do GRUPO E, incluindo seringas e canetas injetoras, Pilhas e baterias portáteis, Pneus inservíveis, Móveis, colchões e demais resíduos volumosos</t>
  </si>
  <si>
    <t>-24.788076°   -52.698444°</t>
  </si>
  <si>
    <t>Alto Paraíso</t>
  </si>
  <si>
    <t>28625</t>
  </si>
  <si>
    <t>NÃO há</t>
  </si>
  <si>
    <t>O Município não participa de nenhum consórcio</t>
  </si>
  <si>
    <t>NÃO POSSUI</t>
  </si>
  <si>
    <t>Veículos para coleta de resíduos orgânicos provenientes de podas e jardinagem, Veículos para a coleta de resíduos orgânicos (sobras alimentares), Ampliação ou adequação de aterro sanitário, Equipamentos para a unidade de triagem de materiais recicláveis</t>
  </si>
  <si>
    <t>Não possui ponto de entrega volutária</t>
  </si>
  <si>
    <t>estradas rurais</t>
  </si>
  <si>
    <t>Trituração e compostagem em leiras</t>
  </si>
  <si>
    <t>Doados à população, Outro uso</t>
  </si>
  <si>
    <t>ATERRO SANITARIO</t>
  </si>
  <si>
    <t>23º30'28''00S   50º43'20''.00W</t>
  </si>
  <si>
    <t>CHACARA RUA ALCEBIADES RODRIGUES NOGUEIRA</t>
  </si>
  <si>
    <t>Próprio município</t>
  </si>
  <si>
    <t>Há impermeabilização no fundo e nas laterais (geomembrana), Há coleta de chorume, Realiza a cobertura diária dos resíduos</t>
  </si>
  <si>
    <t>Próprio Município</t>
  </si>
  <si>
    <t>L.O</t>
  </si>
  <si>
    <t>351.5</t>
  </si>
  <si>
    <t>IPTU</t>
  </si>
  <si>
    <t>700,00.00</t>
  </si>
  <si>
    <t>550,00.00</t>
  </si>
  <si>
    <t>0110</t>
  </si>
  <si>
    <t>3. Eletroeletrônicos e seus componentes - ABREE - Associação Brasileira de Reciclagem de Eletroeletrônicos e Eletrodomésticos;, 8. Lâmpadas fluorescentes, de vapor de sódio e mercúrio e de luz mista - RECICLUS - Associação Brasileira para Gestão da Logística Reversa de Produtos de Iluminação;, 17. Pneus inservíveis - Associação RECICLANIP</t>
  </si>
  <si>
    <t>7. ABIHPEC – Associação Brasileira da Indústria de Higiene Pessoal, Perfumaria e Cosméticos;</t>
  </si>
  <si>
    <t>Eletroeletrônicos e seus componentes, Lâmpadas fluorescentes, de vapor de sódio e mercúrio e de luz mista, Pilhas e baterias portáteis, Pneus inservíveis</t>
  </si>
  <si>
    <t>Não possui área degradada ou contaminada</t>
  </si>
  <si>
    <t>Alto Paraná</t>
  </si>
  <si>
    <t>00608</t>
  </si>
  <si>
    <t>Consórcio Intermunicipal Caiuá Ambiental - CICA</t>
  </si>
  <si>
    <t>Paranavaí</t>
  </si>
  <si>
    <t>Transbordo</t>
  </si>
  <si>
    <t>Não possuí</t>
  </si>
  <si>
    <t>Plano Municipal de Saneamento Básico, Plano Regional de Saneamento Básico</t>
  </si>
  <si>
    <t>Lei Municipal 2.594/2014</t>
  </si>
  <si>
    <t>Plano Regional de Saneamento Básico da Microrregião Oeste (MRAE 3)</t>
  </si>
  <si>
    <t>LEI ORDINÁRIA 3.359/2021</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</si>
  <si>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Ecopontos ou Pontos de Entrega Voluntária, Equipamentos para a unidade de triagem de materiais recicláveis, Equipamentos para a unidade de compostagem</t>
  </si>
  <si>
    <t>Realiza coleta de pequenos geradores, Realiza coleta de vias públicas e descartes irregulares, Possui Ponto de Entrega Voluntária/Ecoponto</t>
  </si>
  <si>
    <t>USADO PARA CONTER EROSÕES EM ESTRADAS RURAIS</t>
  </si>
  <si>
    <t>LAS 340449</t>
  </si>
  <si>
    <t>RUA JOSÉ DE ENCHIETA, 1714</t>
  </si>
  <si>
    <t>365440.0 - 7440334.0</t>
  </si>
  <si>
    <t>Associações e cooperativas de catadores de materiais recicláveis</t>
  </si>
  <si>
    <t>Contrato de Prestação de Serviços</t>
  </si>
  <si>
    <t>Pontos e entrega voluntária</t>
  </si>
  <si>
    <t>Associação/ Cooperativa de Catadores</t>
  </si>
  <si>
    <t>-23.105081, -52.404448</t>
  </si>
  <si>
    <t>PR-158</t>
  </si>
  <si>
    <t>Município de Paranavaí</t>
  </si>
  <si>
    <t>Há canalização do gás, Há flare/queimador dos gases gerados, sem aproveitamento energético,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</si>
  <si>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n/a</t>
  </si>
  <si>
    <t>Características dos lotes (dimensões, área edificável, localização, potencial construtivo, etc.), Consumo de água</t>
  </si>
  <si>
    <t xml:space="preserve">Lei Complementar nº 042/2020 - Código Tributário Municipal </t>
  </si>
  <si>
    <t>175.66</t>
  </si>
  <si>
    <t>350.00</t>
  </si>
  <si>
    <t>364.26</t>
  </si>
  <si>
    <t>8. Lâmpadas fluorescentes, de vapor de sódio e mercúrio e de luz mista - RECICLUS - Associação Brasileira para Gestão da Logística Reversa de Produtos de Iluminação;, 17. Pneus inservíveis - Associação RECICLANIP</t>
  </si>
  <si>
    <t>Baterias de chumbo ácido, Eletroeletrônicos e seus componentes, Embalagens de aço, Embalagens de papel, Embalagens em geral, Medicamentos de uso humano, Perfurocortantes do GRUPO E, incluindo seringas e canetas injetoras, Pilhas e baterias portáteis, Pneus inservíveis, Móveis, colchões e demais resíduos volumosos</t>
  </si>
  <si>
    <t>Possui área, já realizou o estudo de  caracterização e iniciou os procedimentos de recuperação do local</t>
  </si>
  <si>
    <t xml:space="preserve">-23.144352, -52.340921
</t>
  </si>
  <si>
    <t>Alto Piquiri</t>
  </si>
  <si>
    <t>00707</t>
  </si>
  <si>
    <t>Nenhum</t>
  </si>
  <si>
    <t>Lei nº. 120/2013</t>
  </si>
  <si>
    <t xml:space="preserve">Não há </t>
  </si>
  <si>
    <t>Ampliação ou adequação de aterro sanitário, Equipamentos para a unidade de triagem de materiais recicláveis</t>
  </si>
  <si>
    <t>Realiza coleta de pequenos geradores, Não possui ponto de entrega volutária</t>
  </si>
  <si>
    <t>Estradas Rurais</t>
  </si>
  <si>
    <t>Porta-a-porta, Pontos e entrega voluntária</t>
  </si>
  <si>
    <t xml:space="preserve">  Lat -24,003653    Long -53,439451     </t>
  </si>
  <si>
    <t>Estrada Saltinho Km 01</t>
  </si>
  <si>
    <t>Há impermeabilização no fundo e nas laterais (geomembrana), Há coleta de chorume, Há poços de monitoramento, Realiza a cobertura duas vezes por semana</t>
  </si>
  <si>
    <t>Triagem manual</t>
  </si>
  <si>
    <t>Cooperativa/Associação</t>
  </si>
  <si>
    <t>Em renovação</t>
  </si>
  <si>
    <t>Consumo de água</t>
  </si>
  <si>
    <t>141/2014</t>
  </si>
  <si>
    <t>333912.16</t>
  </si>
  <si>
    <t xml:space="preserve">310842.61 </t>
  </si>
  <si>
    <t>420.00</t>
  </si>
  <si>
    <t>175.00</t>
  </si>
  <si>
    <t>35.00</t>
  </si>
  <si>
    <t>Não foi instituído mecanismo de controle social</t>
  </si>
  <si>
    <t>8. Lâmpadas fluorescentes, de vapor de sódio e mercúrio e de luz mista - RECICLUS - Associação Brasileira para Gestão da Logística Reversa de Produtos de Iluminação;, 10. Medicamentos de uso humano - Novartis Biociências SA. e Sandoz do Brasil Indústria Farmacêutica Ltda.;, 17. Pneus inservíveis - Associação RECICLANIP</t>
  </si>
  <si>
    <t>Móveis, colchões e demais resíduos volumosos</t>
  </si>
  <si>
    <t>Altônia</t>
  </si>
  <si>
    <t>00509</t>
  </si>
  <si>
    <t>NENHUM</t>
  </si>
  <si>
    <t>NÃO EXISTE</t>
  </si>
  <si>
    <t>LEI MUNICIPAL Nº 1177/2011</t>
  </si>
  <si>
    <t>LEI Nº 1579/ 2020 - REVISÃO NO ANO 2024</t>
  </si>
  <si>
    <t>Veículos para coleta de resíduos orgânicos provenientes de podas e jardinagem, Unidade de Compostagem, Ampliação ou adequação de aterro sanitário, Ecopontos ou Pontos de Entrega Voluntária, Equipamentos para a unidade de compostagem</t>
  </si>
  <si>
    <t>Realiza coleta de pequenos geradores, Realiza coleta de grandes geradores, Realiza coleta de vias públicas e descartes irregulares, Possui Ponto de Entrega Voluntária/Ecoponto</t>
  </si>
  <si>
    <t>ÁREA INDUSTRIAL. LOTE Nº 914-A-1. QUADRA 02 . DATA 13.</t>
  </si>
  <si>
    <t>- 23.886278 , - 53.892475</t>
  </si>
  <si>
    <t>O MUNICÍPIO DE ALTÔNIA POSSUI ATERRO SANITÁRIO</t>
  </si>
  <si>
    <t>-23.866007   -53.848925</t>
  </si>
  <si>
    <t>ESTRADA DO VEADO. LOTE RURAL Nº 1.032-A. GLEBA OURO VERDE.</t>
  </si>
  <si>
    <t>Há impermeabilização no fundo e nas laterais (geomembrana), Há coleta de chorume, Realiza a cobertura diária dos resíduos, Realiza o monitoramento de corpos hídricos no entorno</t>
  </si>
  <si>
    <t>Reciclagem das frações inorgânicas (metais, plásticos, vidros etc.)</t>
  </si>
  <si>
    <t>LICENÇA DE OPERAÇÃO. 301120-R3</t>
  </si>
  <si>
    <t>Outro Conselho Municipal</t>
  </si>
  <si>
    <t>1. Agrotóxicos, seus resíduos e embalagens - InpEV - Instituto Nacional de Processamento de Embalagens Vazias, 2. Baterias de chumbo ácido - IBER - Instituto Brasileiro de Energia Reciclável, 3. Eletroeletrônicos e seus componentes - ABREE - Associação Brasileira de Reciclagem de Eletroeletrônicos e Eletrodomésticos;, 6. Embalagens de aço (latas de tintas, etc.) - Prolata Recicladores e Associados,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13. Óleo Lubrificante e Embalagens de óleos lubrificantes - Instituto Jogue Limpo;, 14. Óleo Lubrificante e Embalagens de óleos lubrificantes - Teclub Indústria e Comércio de Lubrificantes Ltda.,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t>
  </si>
  <si>
    <t>Agrotóxicos, seus resíduos e embalagens, Baterias de chumbo ácido, Eletroeletrônicos e seus componentes, Embalagens de aço, Embalagens de papel, Embalagens em geral, Filtros de óleos lubrificantes, Lâmpadas fluorescentes, de vapor de sódio e mercúrio e de luz mista, Óleo Lubrificante e Embalagens de óleos lubrificantes, Perfurocortantes do GRUPO E, incluindo seringas e canetas injetoras, Pilhas e baterias portáteis, Pneus inservíveis</t>
  </si>
  <si>
    <t>Alvorada do Sul</t>
  </si>
  <si>
    <t>00806</t>
  </si>
  <si>
    <t>não participa</t>
  </si>
  <si>
    <t>NP</t>
  </si>
  <si>
    <t>2976/2022</t>
  </si>
  <si>
    <t>Resíduos de serviços de saúde, Resíduos da construção civil, Resíduos dos estabelecimentos comerciais e de prestação de serviços que geram resíduos perigosos ou resíduos que não sejam equiparados aos resíduos domiciliares</t>
  </si>
  <si>
    <t>LEI MUNICIPAL</t>
  </si>
  <si>
    <t>3071/2022</t>
  </si>
  <si>
    <t>LEI MUNICIPAL 2976/2022</t>
  </si>
  <si>
    <t>Veículos para coleta indiferenciada (convencional),  Veículos para a coleta de resíduos orgânicos (sobras alimentares), Veículos para coleta seletiva de materiais recicláveis, Veículos para coleta de resíduos orgânicos provenientes de podas e jardinagem, Unidade de Triagem de Materiais Recicláveis, Unidade de Transbordo, Ecopontos ou Pontos de Entrega Voluntária, Equipamentos para a unidade de triagem de materiais recicláveis, Unidade de compostagem, Equipamentos para a unidade de compostagem</t>
  </si>
  <si>
    <t>DECRETO 94/2022</t>
  </si>
  <si>
    <t>LAS 341534 - R1/LAS n°. 22899831-1</t>
  </si>
  <si>
    <t>RODOVIA PR 090 KM 74</t>
  </si>
  <si>
    <t>473715.00 m E - 7479610.00 m S ou LA -22.790024° - LO 7479610.00 m S</t>
  </si>
  <si>
    <t>Incentivo à compostagem doméstica, Compostagem comunitária em escolas, associações de moradores, hortas comunitárias, Trituração e compostagem dos resíduos verdes (provenientes de podas e jardinagem)</t>
  </si>
  <si>
    <t>Termo de Colaboração, Fomento, Acordo de Cooperaçã ou outro com repasse financeiro</t>
  </si>
  <si>
    <t>Termo de Colaboração, Fomento Acordo de Cooperação ou outro com repasse financeiro</t>
  </si>
  <si>
    <t>LONDRINA - KURICA AMBIENTAL SA</t>
  </si>
  <si>
    <t>486720.0 - 7412503-0</t>
  </si>
  <si>
    <t>RODOVIA CELSO GARCIA CID, GLEBA, 12633 - CAFEZAL LONDRINA - PR</t>
  </si>
  <si>
    <t>Há impermeabilização no fundo e nas laterais (geomembrana), Há coleta de chorume, Realiza o monitoramento de corpos hídricos no entorno, Há canalização do gás</t>
  </si>
  <si>
    <t xml:space="preserve">NÃO REALIZA </t>
  </si>
  <si>
    <t>LO 246983-R2</t>
  </si>
  <si>
    <t>LEI 1139/2001</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</si>
  <si>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15. Perfurocortantes do GRUPO E, incluindo seringas e canetas injetoras - BHS Comércio e Serviços de Produtos para Saúde LTDA., 17. Pneus inservíveis - Associação RECICLANIP</t>
  </si>
  <si>
    <t xml:space="preserve">Perfurocortantes do GRUPO E, incluindo seringas e canetas injetoras, Pneus inservíveis, ÓLEO DE COZINHA </t>
  </si>
  <si>
    <t>473715.00 m E - 7479610.00 m S</t>
  </si>
  <si>
    <t>Amaporã</t>
  </si>
  <si>
    <t>00905</t>
  </si>
  <si>
    <t>Maringá</t>
  </si>
  <si>
    <t>17/01/2012</t>
  </si>
  <si>
    <t>9192021, 06/07/2021</t>
  </si>
  <si>
    <t>426.22</t>
  </si>
  <si>
    <t>Lixão</t>
  </si>
  <si>
    <t>-23.47520181963908, -51.957471502515844</t>
  </si>
  <si>
    <t>Estr. São José, 725 - Jardim Sao Clemente, Maringá - PR, 87062-000</t>
  </si>
  <si>
    <t>RLO - 256451</t>
  </si>
  <si>
    <t>139391.53</t>
  </si>
  <si>
    <t>-23.124011392033818, -52.78690049748628</t>
  </si>
  <si>
    <t>Anahy</t>
  </si>
  <si>
    <t>01051</t>
  </si>
  <si>
    <t>Consórcio Intermunicipal Piquiri</t>
  </si>
  <si>
    <t>Nova Aurora</t>
  </si>
  <si>
    <t>Não Há</t>
  </si>
  <si>
    <t>Lei 1092/2024</t>
  </si>
  <si>
    <t>Unidade de Compostagem</t>
  </si>
  <si>
    <t>498.20</t>
  </si>
  <si>
    <t>41.1</t>
  </si>
  <si>
    <t>29.89</t>
  </si>
  <si>
    <t>18.8</t>
  </si>
  <si>
    <t>Área de Bota Fora</t>
  </si>
  <si>
    <t>Estrada Zé Parana</t>
  </si>
  <si>
    <t>-24.643488800766885, -53.143670658419296</t>
  </si>
  <si>
    <t>Poder público, Associações e cooperativas de catadores de materiais recicláveis</t>
  </si>
  <si>
    <t>Em 100% da área rural.</t>
  </si>
  <si>
    <t>Conforme Solicitação</t>
  </si>
  <si>
    <t>Poder Público, Associação/ Cooperativa de Catadores</t>
  </si>
  <si>
    <t>06</t>
  </si>
  <si>
    <t>Cascavel</t>
  </si>
  <si>
    <t>-24.974608043831136, -53.27441988804576</t>
  </si>
  <si>
    <t>Rodovia BR 277, Km 573</t>
  </si>
  <si>
    <t>237967.81</t>
  </si>
  <si>
    <t>851806.61</t>
  </si>
  <si>
    <t>1345.74</t>
  </si>
  <si>
    <t>8. Lâmpadas fluorescentes, de vapor de sódio e mercúrio e de luz mista - RECICLUS - Associação Brasileira para Gestão da Logística Reversa de Produtos de Iluminação;</t>
  </si>
  <si>
    <t>-24.643318146743425, -53.1434265774429</t>
  </si>
  <si>
    <t>Andirá</t>
  </si>
  <si>
    <t>01101</t>
  </si>
  <si>
    <t>Consórcio Intermunicipal de Saneamento do Paraná - CISPAR</t>
  </si>
  <si>
    <t>MARINGA - PR</t>
  </si>
  <si>
    <t>APENAS REGULAÇÃO</t>
  </si>
  <si>
    <t>Decreto Municipal</t>
  </si>
  <si>
    <t>7.084/2015</t>
  </si>
  <si>
    <t>Resíduos da construção civil</t>
  </si>
  <si>
    <t>LEI Nº 3.236, DE 23 DE OUTUBRO DE 2019</t>
  </si>
  <si>
    <t>LEI Nº 2.345, DE 24 DE OUTUBRO DE 2012</t>
  </si>
  <si>
    <t>Unidade de Triagem de Materiais Recicláveis, Unidade de Transbordo, Ampliação ou adequação de aterro sanitário, Ecopontos ou Pontos de Entrega Voluntária, Equipamentos para a unidade de triagem de materiais recicláveis</t>
  </si>
  <si>
    <t>LEI Nº 2.937, DE 27 DE JULHO DE 2017</t>
  </si>
  <si>
    <t>Realiza coleta de pequenos geradores</t>
  </si>
  <si>
    <t>NAO HÁ</t>
  </si>
  <si>
    <t>DESCONHECEMOS</t>
  </si>
  <si>
    <t>ASSAI</t>
  </si>
  <si>
    <t>Seção Figueira, Lotes 135 A1, 135 Ba1, 136 A1, Zona Rural. Assai - PR</t>
  </si>
  <si>
    <t>AGUARDANDO RESPOSTA DA EMPRESA</t>
  </si>
  <si>
    <t>SEM OPÇÃO</t>
  </si>
  <si>
    <t>233695-R3</t>
  </si>
  <si>
    <t>LEI Nº 3.657, DE 24 DE FEVEREIRO DE 2023</t>
  </si>
  <si>
    <t>não ha mensuração por falta de dados concretos das associações. Levantaremos em breve</t>
  </si>
  <si>
    <t>Órgão Regulador do Consórcio CISPAR (ORCISPAR) – Intermunicipal</t>
  </si>
  <si>
    <t>11. Medicamentos de uso humano - Sindusfarma - Sindicato da Indústria de Produtos Farmacêuticos, O SAMAE NAO REALIZA</t>
  </si>
  <si>
    <t>Possui área e já realizou o estudo de  caracterização do local</t>
  </si>
  <si>
    <t xml:space="preserve">https://maps.app.goo.gl/QvzqubYdYtk3WNq9A
-23.068030, -50.254089
</t>
  </si>
  <si>
    <t>Ângulo</t>
  </si>
  <si>
    <t>01150</t>
  </si>
  <si>
    <t xml:space="preserve">Maringa </t>
  </si>
  <si>
    <t>https://sapl.angulo.pr.leg.br/media/sapl/public/normajuridica/1998/189/189_texto_integral.pdf</t>
  </si>
  <si>
    <t>https://www.secid.pr.gov.br/sites/default/arquivos_restritos/files/documento/2022-12/prsb_mrae2_publicado_28_12_22.pdf</t>
  </si>
  <si>
    <t>https://sapl.angulo.pr.leg.br/ta/1065/text?</t>
  </si>
  <si>
    <t>Veículos para coleta indiferenciada (convencional), Veículos para coleta seletiva de materiais recicláveis, Veículos para a coleta de resíduos orgânicos (sobras alimentares)</t>
  </si>
  <si>
    <t xml:space="preserve">Não  ha </t>
  </si>
  <si>
    <t>Não ha</t>
  </si>
  <si>
    <t>latitude -23.192990° longitude -51.892310°</t>
  </si>
  <si>
    <t>Itanbe</t>
  </si>
  <si>
    <t>-23.629454° -51.969725°</t>
  </si>
  <si>
    <t>Estrada Boninas mooca Greba no ribeirão quidaban / Itanbé Parana</t>
  </si>
  <si>
    <t>Realiza a cobertura diária dos resíduos</t>
  </si>
  <si>
    <t xml:space="preserve">Não ha </t>
  </si>
  <si>
    <t xml:space="preserve">de operação </t>
  </si>
  <si>
    <t>LEI N.° 1189/2019 - de 12-11-2019</t>
  </si>
  <si>
    <t>Pneus inservíveis</t>
  </si>
  <si>
    <t>-23.192353° -51.892198°</t>
  </si>
  <si>
    <t>Antonina</t>
  </si>
  <si>
    <t>01200</t>
  </si>
  <si>
    <t>Resíduos dos estabelecimentos comerciais e de prestação de serviços que geram resíduos perigosos ou resíduos que não sejam equiparados aos resíduos domiciliares</t>
  </si>
  <si>
    <t xml:space="preserve">A Lei Ordinária n° 54/2020  </t>
  </si>
  <si>
    <t>18 de Dezembro de 2020</t>
  </si>
  <si>
    <t>Decreto nº 114/2017</t>
  </si>
  <si>
    <t>Veículos para coleta indiferenciada (convencional), Veículos para coleta seletiva de materiais recicláveis, Ecopontos ou Pontos de Entrega Voluntária, Equipamentos para a unidade de triagem de materiais recicláveis</t>
  </si>
  <si>
    <t>Lei Municipal nº 34/2001</t>
  </si>
  <si>
    <t>Realiza coleta de pequenos geradores, Realiza coleta de vias públicas e descartes irregulares</t>
  </si>
  <si>
    <t>Contrato de Prestação de Serviços, Termo de Colaboração, Fomento ou outro com repasse financeiro</t>
  </si>
  <si>
    <t>PARANAGUÁ/PR</t>
  </si>
  <si>
    <t>-25.531106, -48.665535</t>
  </si>
  <si>
    <t>CIETec - Complexo Industrial Ecotecnológico, Estr. do Rio das Pedras, S/N - Alexandra, Paranaguá - PR, 83250-000</t>
  </si>
  <si>
    <t>Empresa privada</t>
  </si>
  <si>
    <t>A Licença de Operação / N° 16324</t>
  </si>
  <si>
    <t>COLETA DE AGUA E IPTU</t>
  </si>
  <si>
    <t>LEI N° 14.026/2020</t>
  </si>
  <si>
    <t>Quantidade de resíduos gerada</t>
  </si>
  <si>
    <t>1. Agrotóxicos, seus resíduos e embalagens - InpEV - Instituto Nacional de Processamento de Embalagens Vazias, 2. Baterias de chumbo ácido - IBER - Instituto Brasileiro de Energia Reciclável, 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6. Embalagens de aço (latas de tintas, etc.) - Prolata Recicladores e Associados,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12. Medicamentos de uso veterinário - BHS Comércio e Serviços de Produtos para Saúde LTDA, 13. Óleo Lubrificante e Embalagens de óleos lubrificantes - Instituto Jogue Limpo;, 14. Óleo Lubrificante e Embalagens de óleos lubrificantes - Teclub Indústria e Comércio de Lubrificantes Ltda.,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 18. Produtos saneantes domissanitários desinfestantes - ABRASSAM - Associação Brasileira das Empresas Fabricantes de Produtos Saneantes Domissanitários Desinfestantes, 16. Baterias Chumbo-Ácido - Associação Brasileira de Energia Sustentável – ABES</t>
  </si>
  <si>
    <t>2. Instituto Brasileiro de Logística Reversa – ILOG;</t>
  </si>
  <si>
    <t>-25.458695, -48.743941</t>
  </si>
  <si>
    <t>Antônio Olinto</t>
  </si>
  <si>
    <t>01309</t>
  </si>
  <si>
    <t>Não possui consórcio</t>
  </si>
  <si>
    <t>Não Possui</t>
  </si>
  <si>
    <t>Lei 752 de 19/04/2013</t>
  </si>
  <si>
    <t>806/2015</t>
  </si>
  <si>
    <t>Veículos para coleta indiferenciada (convencional), Veículos para coleta seletiva de materiais recicláveis, Unidade de Triagem de Materiais Recicláveis</t>
  </si>
  <si>
    <t>Aproveitamento em readequação de estradas</t>
  </si>
  <si>
    <t>Não sei</t>
  </si>
  <si>
    <t>Três Barras SC</t>
  </si>
  <si>
    <t>Empresas Privada (terceirizada)</t>
  </si>
  <si>
    <t>Mafra SC</t>
  </si>
  <si>
    <t>Há impermeabilização no fundo e nas laterais (geomembrana)</t>
  </si>
  <si>
    <t>A empresa terceirizada efetua</t>
  </si>
  <si>
    <t>O serviço é terceizado</t>
  </si>
  <si>
    <t>Lei 214/1978</t>
  </si>
  <si>
    <t>Frequência/ periodicidade da coleta</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</si>
  <si>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t>
  </si>
  <si>
    <t>Agrotóxicos, seus resíduos e embalagens, Filtros de óleos lubrificantes, Lâmpadas fluorescentes, de vapor de sódio e mercúrio e de luz mista</t>
  </si>
  <si>
    <t>Apucarana</t>
  </si>
  <si>
    <t>01408</t>
  </si>
  <si>
    <t>103/2017</t>
  </si>
  <si>
    <t>Resíduos industriais, Resíduos de serviços de saúde, Resíduos da construção civil, Resíduos dos estabelecimentos comerciais e de prestação de serviços que geram resíduos perigosos ou resíduos que não sejam equiparados aos resíduos domiciliares</t>
  </si>
  <si>
    <t>Não há lei decreto</t>
  </si>
  <si>
    <t>Unidade de Triagem de Materiais Recicláveis, Unidade de Compostagem, Ampliação ou adequação de aterro sanitário, Equipamentos para a unidade de compostagem</t>
  </si>
  <si>
    <t>46/2014</t>
  </si>
  <si>
    <t>Aterro de Resíduos de construção civil</t>
  </si>
  <si>
    <t>Ainda não realiza nenhuma ação, Trituração e compostagem dos resíduos verdes (provenientes de podas e jardinagem)</t>
  </si>
  <si>
    <t>Arborização urbana, Doados à população</t>
  </si>
  <si>
    <t>-23.592732  -51.465364</t>
  </si>
  <si>
    <t>Estrada André Berezoski</t>
  </si>
  <si>
    <t>Empresa privada e gestão pública, SANEPAR</t>
  </si>
  <si>
    <t>Há canalização do gás, Há flare/queimador dos gases gerados, sem aproveitamento energético, Há impermeabilização no fundo e nas laterais (geomembrana), Há coleta de chorume, Há poços de monitoramento, Há sistema de detecção de vazamento do percolado sob a impermeabilização (IN 33/2025), Realiza a cobertura diária dos resíduos, Realiza o monitoramento de corpos hídricos no entorno</t>
  </si>
  <si>
    <t>LO - 322732-R4</t>
  </si>
  <si>
    <t>Frequência de coleta</t>
  </si>
  <si>
    <t>Frequência/ periodicidade da coleta, Quantidade de resíduos gerada</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</si>
  <si>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t>
  </si>
  <si>
    <t>2. Instituto Brasileiro de Logística Reversa – ILOG;, 7. ABIHPEC – Associação Brasileira da Indústria de Higiene Pessoal, Perfumaria e Cosméticos;, 9. Associação Brasileira de Bebidas – ABRABE;</t>
  </si>
  <si>
    <t>Pneus inservíveis, Móveis, colchões e demais resíduos volumosos</t>
  </si>
  <si>
    <t>23.529420  -51.485608</t>
  </si>
  <si>
    <t>Arapongas</t>
  </si>
  <si>
    <t>01507</t>
  </si>
  <si>
    <t>-</t>
  </si>
  <si>
    <t>DECRETO Nº 665/24, DE 21 DE AGOSTO DE 2024</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</si>
  <si>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de serviços de transportes, Resíduos agrossilvopastoris, Resíduos de mineração</t>
  </si>
  <si>
    <t>LEI Nº 4.321, DE 18 DE NOVEMBRO DE 2014</t>
  </si>
  <si>
    <t>Veículos para coleta indiferenciada (convencional), Veículos para coleta seletiva de materiais recicláveis, Veículos para coleta de resíduos orgânicos provenientes de podas e jardinagem, Veículos para a coleta de resíduos orgânicos (sobras alimentares), Unidade de Compostagem, Ampliação ou adequação de aterro sanitário, Equipamentos para a unidade de triagem de materiais recicláveis</t>
  </si>
  <si>
    <t>LEI N. 4.858, DE 18 DE DEZEMBRO DE 2019</t>
  </si>
  <si>
    <t xml:space="preserve">Aterro industrial, </t>
  </si>
  <si>
    <t>RUA ROUXINOL 2.200</t>
  </si>
  <si>
    <t>Empresas Privada (terceirizada), Não há</t>
  </si>
  <si>
    <t>-23.4393134538616, -51.427001775376205</t>
  </si>
  <si>
    <t xml:space="preserve">Rua Rouxinol </t>
  </si>
  <si>
    <t>Há canalização do gás, Há impermeabilização no fundo e nas laterais (geomembrana), Há tratamento do chorume (IN 33/2025 e Portaria IAP 259/2014)</t>
  </si>
  <si>
    <t>Triagem mecanizada</t>
  </si>
  <si>
    <t>Operação</t>
  </si>
  <si>
    <t>Lei nº 2025/1991/ Lei 145/2002</t>
  </si>
  <si>
    <t>Frequência/ periodicidade da coleta/ Área da edificação</t>
  </si>
  <si>
    <t>1. Agrotóxicos, seus resíduos e embalagens - InpEV - Instituto Nacional de Processamento de Embalagens Vazias 6. Embalagens de aço (latas de tintas, etc.) - Prolata Recicladores e Associados, 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 17. Pneus inservíveis - Associação RECICLANIP</t>
  </si>
  <si>
    <t>2. Instituto Brasileiro de Logística Reversa – ILOG;, 5. Instituto Recicleiros; 8. Associação Nacional dos Catadores e Catadoras de Materiais Recicláveis – ANCAT;, 9. Associação Brasileira de Bebidas – ABRABE;</t>
  </si>
  <si>
    <t>Arapoti</t>
  </si>
  <si>
    <t>01606</t>
  </si>
  <si>
    <t>PIRAÍ DO SUL - MTX</t>
  </si>
  <si>
    <t>DECRETO Nº 7.429/2024</t>
  </si>
  <si>
    <t xml:space="preserve">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de mineração, </t>
  </si>
  <si>
    <t>LEI ORDINÁRIA Nº 2275/2023</t>
  </si>
  <si>
    <t>Lei n.º 11.445, de 5 de janeiro de 2007 (a Lei Nacional de Saneamento Básico)</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</si>
  <si>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Ecopontos ou Pontos de Entrega Voluntária, Equipamentos para a unidade de triagem de materiais recicláveis, Equipamentos para a unidade de compostagem</t>
  </si>
  <si>
    <t>Possui Ponto de Entrega Voluntária/Ecoponto</t>
  </si>
  <si>
    <t>DT RURAL CAMPO DO PIRAI, S/N</t>
  </si>
  <si>
    <t>602468.2 - 7278979.6</t>
  </si>
  <si>
    <t>Pontos e entrega voluntária, Conteinerizada</t>
  </si>
  <si>
    <t>PIRAÍ DO SUL</t>
  </si>
  <si>
    <t>Aterro sanitário, Aterro controlado</t>
  </si>
  <si>
    <t>Empresa privada (terceirizada), MTX AMBIENTAL - PIRAÍ DO SUL/PR</t>
  </si>
  <si>
    <t>VERIFICAR COM A EMPRESA MTX</t>
  </si>
  <si>
    <t>LEI Nº 527/1997</t>
  </si>
  <si>
    <t>Conselho Municipal de Meio Ambiente e ou Saneamento Ambiental, Outras Formas de Controle Social</t>
  </si>
  <si>
    <t xml:space="preserve">Interna </t>
  </si>
  <si>
    <t>1. Instituto de Promoção e Apoio à Reciclagem – InPAR;, 8. Associação Nacional dos Catadores e Catadoras de Materiais Recicláveis – ANCAT;</t>
  </si>
  <si>
    <t>Recicláveis</t>
  </si>
  <si>
    <t>Araruna</t>
  </si>
  <si>
    <t>01705</t>
  </si>
  <si>
    <t>Não participa de consorcio</t>
  </si>
  <si>
    <t>Veículos para coleta indiferenciada (convencional), Veículos para coleta seletiva de materiais recicláveis, Unidade de Triagem de Materiais Recicláveis, Unidade de Transbordo, Ecopontos ou Pontos de Entrega Voluntária, Equipamentos para a unidade de triagem de materiais recicláveis</t>
  </si>
  <si>
    <t>LAS n° 314809-R1</t>
  </si>
  <si>
    <t>Estrada Araruna a São Geraldo, s/n - São Miguel</t>
  </si>
  <si>
    <t>345234.1 - 7349695.4</t>
  </si>
  <si>
    <t>Jardins públicos, Doados à população</t>
  </si>
  <si>
    <t>404054.43 - 7403067.34</t>
  </si>
  <si>
    <t xml:space="preserve"> São José, sn Pedreira Ingá Jardim São Clemente Maringá - PR</t>
  </si>
  <si>
    <t>É realizada pela empresa privada</t>
  </si>
  <si>
    <t>Empresa Terceirizada</t>
  </si>
  <si>
    <t>Lei n° 1.967/2017</t>
  </si>
  <si>
    <t>Eletroeletrônicos e seus componentes, Embalagens em geral, Medicamentos de uso humano, Perfurocortantes do GRUPO E, incluindo seringas e canetas injetoras, Pneus inservíveis, Móveis, colchões e demais resíduos volumosos</t>
  </si>
  <si>
    <t>345050.76 - 7354371.52</t>
  </si>
  <si>
    <t>08106</t>
  </si>
  <si>
    <t>Flórida</t>
  </si>
  <si>
    <t>Araucária</t>
  </si>
  <si>
    <t>01804</t>
  </si>
  <si>
    <t>26.631/2013</t>
  </si>
  <si>
    <t>Decreto nº 30.064/2016</t>
  </si>
  <si>
    <t>Não há.</t>
  </si>
  <si>
    <t>Está incluído no Plano Municipal de Saneamento Básico</t>
  </si>
  <si>
    <t>Unidade de Compostagem, Ecopontos ou Pontos de Entrega Voluntária, Equipamentos para a unidade de triagem de materiais recicláveis, Equipamentos para a unidade de compostagem</t>
  </si>
  <si>
    <t>Lei 2343/2011</t>
  </si>
  <si>
    <t>Empresas contratadas pelos geradores</t>
  </si>
  <si>
    <t>Acordo de Cooperação ou outro sem repasse financeiro</t>
  </si>
  <si>
    <t>-25.654139154966575, -49.34516826594751</t>
  </si>
  <si>
    <t>Há canalização do gás, Há aproveitamento energético do gás gerado (geradores), Há impermeabilização no fundo e nas laterais (geomembrana), Há coleta de chorume, Há tratamento do chorume (IN 33/2025 e Portaria IAP 259/2014), Há poços de monitoramento, Realiza a cobertura diária dos resíduos, Realiza o monitoramento de corpos hídricos no entorno</t>
  </si>
  <si>
    <t>LC 19/2019</t>
  </si>
  <si>
    <t>17. Pneus inservíveis - Associação RECICLANIP</t>
  </si>
  <si>
    <t>Eletroeletrônicos e seus componentes, Embalagens de aço, Embalagens de papel, Embalagens em geral, Móveis, colchões e demais resíduos volumosos</t>
  </si>
  <si>
    <t>25902</t>
  </si>
  <si>
    <t>São Pedro do Paraná</t>
  </si>
  <si>
    <t>14351</t>
  </si>
  <si>
    <t>Manfrinópolis</t>
  </si>
  <si>
    <t>Ariranha do Ivaí</t>
  </si>
  <si>
    <t>01853</t>
  </si>
  <si>
    <t>Área não licenciada</t>
  </si>
  <si>
    <t>-24.385528 -51.615985</t>
  </si>
  <si>
    <t>Há canalização do gás, Há impermeabilização no fundo e nas laterais (geomembrana), Realiza o monitoramento de corpos hídricos no entorno</t>
  </si>
  <si>
    <t>Nao</t>
  </si>
  <si>
    <t>RLO 185992-R1</t>
  </si>
  <si>
    <t>Embalagens em geral, Móveis, colchões e demais resíduos volumosos</t>
  </si>
  <si>
    <t>Assaí</t>
  </si>
  <si>
    <t>01903</t>
  </si>
  <si>
    <t>nenhum</t>
  </si>
  <si>
    <t>bota fora</t>
  </si>
  <si>
    <t>mesma cidade</t>
  </si>
  <si>
    <t>-23,402422 -50,845922</t>
  </si>
  <si>
    <t>Lote 135 e 136 Secção Figueira</t>
  </si>
  <si>
    <t>Há canalização do gás, Há flare/queimador dos gases gerados, sem aproveitamento energético, Há impermeabilização no fundo e nas laterais (geomembrana), Há coleta de chorume, Há tratamento do chorume (IN 33/2025 e Portaria IAP 259/2014), Há poços de monitoramento, Realiza a cobertura diária dos resíduos, Realiza o monitoramento de corpos hídricos no entorno</t>
  </si>
  <si>
    <t>não faz</t>
  </si>
  <si>
    <t>RLO 233695-R3</t>
  </si>
  <si>
    <t>lei nº 939/2006</t>
  </si>
  <si>
    <t>1. Agrotóxicos, seus resíduos e embalagens - InpEV - Instituto Nacional de Processamento de Embalagens Vazias,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t>
  </si>
  <si>
    <t>Embalagens de papel, Embalagens em geral, Lâmpadas fluorescentes, de vapor de sódio e mercúrio e de luz mista, Pilhas e baterias portáteis, Pneus inservíveis</t>
  </si>
  <si>
    <t>-23.402422  -50.845922</t>
  </si>
  <si>
    <t>Assis Chateaubriand</t>
  </si>
  <si>
    <t>02000</t>
  </si>
  <si>
    <t>Consórcio Intermunicipal Multifinalitário Vale do Piquiri - CIMVAP</t>
  </si>
  <si>
    <t>Palotina</t>
  </si>
  <si>
    <t>Coleta e Transporte, Triagem, Transbordo, Tratamento, Disposição final</t>
  </si>
  <si>
    <t>Lei Municipal n° 3376/2022</t>
  </si>
  <si>
    <t>chrome-extension://efaidnbmnnnibpcajpcglclefindmkaj/https://www.secid.pr.gov.br/sites/default/arquivos_restritos/files/documento/2023-12/plano_regional_de_saneamento_basico_prsb_mrae_3_atualizado.pdf</t>
  </si>
  <si>
    <t>Veículos para coleta seletiva de materiais recicláveis, Veículos para coleta de resíduos orgânicos provenientes de podas e jardinagem, Veículos para a coleta de resíduos orgânicos (sobras alimentares), Unidade de Compostagem, Ecopontos ou Pontos de Entrega Voluntária, Equipamentos para a unidade de compostagem</t>
  </si>
  <si>
    <t>RLAS N° 278461-R1</t>
  </si>
  <si>
    <t>PR 239, km 03, Rodovia Padre Felipe Sierra Ruiz,  Assis Chat a Jesuítas</t>
  </si>
  <si>
    <t>-24.387582° -53.479415°</t>
  </si>
  <si>
    <t>-24.981301° -53.290673°</t>
  </si>
  <si>
    <t>Rodovia BR-277, sn, Bairro Cascavel Velho, Município de Cascavel-PR</t>
  </si>
  <si>
    <t>Empreendimento Licenciado pelo IAT - O Município não tem essas informações/projetos/documentos</t>
  </si>
  <si>
    <t>RLO n°274599-R2</t>
  </si>
  <si>
    <t>Lei Complementar Municipal n° 02/2002</t>
  </si>
  <si>
    <t>1. Instituto de Promoção e Apoio à Reciclagem – InPAR;</t>
  </si>
  <si>
    <t>-24.384042° -53.481159°</t>
  </si>
  <si>
    <t>22.191.790-1</t>
  </si>
  <si>
    <t>Balsa Nova</t>
  </si>
  <si>
    <t>02307</t>
  </si>
  <si>
    <t>Secretaria Municipal de Agricultura e Meio Ambiente</t>
  </si>
  <si>
    <t>Lei Municipal 1051/2018</t>
  </si>
  <si>
    <t>Plano Regional de Saneamento Básico Microrregião de Água e Esgotamento Sanitário do Centro-Litoral</t>
  </si>
  <si>
    <t>Unidade de Compostagem, Unidade de Transbordo, Ecopontos ou Pontos de Entrega Voluntária, Equipamentos para a unidade de compostagem</t>
  </si>
  <si>
    <t>Realiza coleta de vias públicas e descartes irregulares, Não possui ponto de entrega volutária</t>
  </si>
  <si>
    <t>terceirizada</t>
  </si>
  <si>
    <t>Incentivo à compostagem doméstica</t>
  </si>
  <si>
    <t>Aterro Sanitário, Outros</t>
  </si>
  <si>
    <t>Porta-a-porta, Pontos de entrega voluntária</t>
  </si>
  <si>
    <t>-25.662331636836242, -49.33883587505086</t>
  </si>
  <si>
    <t>Gestão pública (via consórcio)</t>
  </si>
  <si>
    <t>nao realiza</t>
  </si>
  <si>
    <t>nãi implataram ecopontos</t>
  </si>
  <si>
    <t>Eletroeletrônicos e seus componentes, Lâmpadas fluorescentes, de vapor de sódio e mercúrio e de luz mista</t>
  </si>
  <si>
    <t>-25.59667391070593, -49.611261966447344</t>
  </si>
  <si>
    <t>Bandeirantes</t>
  </si>
  <si>
    <t>02406</t>
  </si>
  <si>
    <t>Não participa de nenhum consórcio, Participa de consórcio, mas não com foco na gestão de resíduos, pois há aterro sanitário municipal</t>
  </si>
  <si>
    <t>Participa de consórcio, mas não para gestão de resíduos.</t>
  </si>
  <si>
    <t>O Município não participa de nenhum consórcio, Participa de consórcio, mas não para gestão de resíduos.</t>
  </si>
  <si>
    <t>Tem aterro municipal</t>
  </si>
  <si>
    <t>Lei complementar 170/2022</t>
  </si>
  <si>
    <t>Lei nº 1/2020 (SAAE) e lei complementar 170/2022</t>
  </si>
  <si>
    <t>Lei Complementar nº 237/2021/ Resolução nº 003/2024 – SECID/MRAE‑3</t>
  </si>
  <si>
    <t>Plano de 2009 - N/I numero da LEI</t>
  </si>
  <si>
    <t>Veículos para coleta indiferenciada (convencional), Veículos para coleta seletiva de materiais recicláveis, Veículos para coleta de resíduos orgânicos provenientes de podas e jardinagem, Unidade de Compostagem, Ampliação ou adequação de aterro sanitário, Ecopontos ou Pontos de Entrega Voluntária, Equipamentos para a unidade de triagem de materiais recicláveis, Equipamentos para a unidade de compostagem</t>
  </si>
  <si>
    <t>Não realiza coleta ou o recebimento, Não possui ponto de entrega volutária</t>
  </si>
  <si>
    <t>Responsabilidade dos geradores</t>
  </si>
  <si>
    <t>Incentivo à compostagem doméstica, Compostagem comunitária em escolas, associações de moradores, hortas comunitárias</t>
  </si>
  <si>
    <t>Termo de Colaboração, Fomento ou outro com repasse financeiro, Acordo de Cooperação ou outro sem repasse financeiro</t>
  </si>
  <si>
    <t>N/a</t>
  </si>
  <si>
    <t>municipal</t>
  </si>
  <si>
    <t>-23.08391 -50.39250</t>
  </si>
  <si>
    <t>Rodovia Tsuneto Matsubara, S/N, vértice com a Estrada Yara</t>
  </si>
  <si>
    <t>Há impermeabilização no fundo e nas laterais (geomembrana), Há coleta de chorume, Há tratamento do chorume (IN 33/2025 e Portaria IAP 259/2014), Há poços de monitoramento</t>
  </si>
  <si>
    <t>n de protocolo 17.968.910-3 e Nº Licença: 253.255</t>
  </si>
  <si>
    <t>Características dos lotes (dimensões, área edificável, localização, potencial construtivo, etc.), Frequência de coleta</t>
  </si>
  <si>
    <t>Lei nº 2287/2001</t>
  </si>
  <si>
    <t>Frequência/ periodicidade da coleta, Área da edificação</t>
  </si>
  <si>
    <t>16. Pilhas e baterias portáteis - ABREE - Associação Brasileira de Reciclagem de Eletroeletrônicos e Eletrodomésticos, 17. Pneus inservíveis - Associação RECICLANIP</t>
  </si>
  <si>
    <t>Medicamentos de uso humano, Perfurocortantes do GRUPO E, incluindo seringas e canetas injetoras, Pilhas e baterias portáteis, Pneus inservíveis, Móveis, colchões e demais resíduos volumosos</t>
  </si>
  <si>
    <t>-23.11018838238615, -50.40579588442896</t>
  </si>
  <si>
    <t>Barbosa Ferraz</t>
  </si>
  <si>
    <t>02505</t>
  </si>
  <si>
    <t>Lei Municipal 1927/2011</t>
  </si>
  <si>
    <t>Veículos para coleta indiferenciada (convencional), Veículos para coleta seletiva de materiais recicláveis, Veículos para coleta de resíduos orgânicos provenientes de podas e jardinagem, Unidade de Triagem de Materiais Recicláveis, Unidade de Transbordo, Ecopontos ou Pontos de Entrega Voluntária, Equipamentos para a unidade de triagem de materiais recicláveis</t>
  </si>
  <si>
    <t>Aterro de áreas para construção</t>
  </si>
  <si>
    <t>304188-R2</t>
  </si>
  <si>
    <t>Pr 549, Km 02, Estr. Barbosa Ferraz /Ctaí do Sul</t>
  </si>
  <si>
    <t>395107-0 7341217-0</t>
  </si>
  <si>
    <t>Apucarana -Pr</t>
  </si>
  <si>
    <t>23.354302  51.275648</t>
  </si>
  <si>
    <t>Estrada Barra Nova, 1500 Gleba Nova Ucrânia - Apucarana-Pr</t>
  </si>
  <si>
    <t>Há flare/queimador dos gases gerados, sem aproveitamento energético, Há impermeabilização no fundo e nas laterais (geomembrana), Há coleta de chorume, Há poços de monitoramento, Há sistema de detecção de vazamento do percolado sob a impermeabilização (IN 33/2025), Realiza o monitoramento de corpos hídricos no entorno</t>
  </si>
  <si>
    <t>Licença de operação</t>
  </si>
  <si>
    <t>Lei Municipal nº 2.567/2022</t>
  </si>
  <si>
    <t>Agência Reguladora - AGEPAR</t>
  </si>
  <si>
    <t>Lâmpadas fluorescentes, de vapor de sódio e mercúrio e de luz mista, Pneus inservíveis, Móveis, colchões e demais resíduos volumosos</t>
  </si>
  <si>
    <t>Barra do Jacaré</t>
  </si>
  <si>
    <t>02703</t>
  </si>
  <si>
    <t>não se aplica</t>
  </si>
  <si>
    <t>Plano Municipal de Gestão de Resíduos Sólidos Urbanos</t>
  </si>
  <si>
    <t>Resíduos dos serviços públicos de saneamento básico, Resíduos de serviços de saúde, Resíduos da construção civil</t>
  </si>
  <si>
    <t>PLANO MUNICIPAL DE SANEAMENTO BÁSICO DO MUNICÍPIO DE BARRA DO JACARÉ- PARANÁ</t>
  </si>
  <si>
    <t>PLANO MUNICIPAL DE SANEAMENTO BÁSICO DO MUNICÍPIO DE BARRA DO JACARÉ- PARANÁ 11.445/2007</t>
  </si>
  <si>
    <t>PLANO DE GESTÃO INTEGRADA DE RESÍDUOS SÓLIDOS URBANOS DO MUNICÍPIO DE BARRA DO JACARÉPARANÁ</t>
  </si>
  <si>
    <t>Veículos para coleta indiferenciada (convencional), Veículos para coleta seletiva de materiais recicláveis, Veículos para coleta de resíduos orgânicos provenientes de podas e jardinagem, Veículos para a coleta de resíduos orgânicos (sobras alimentares)</t>
  </si>
  <si>
    <t>Aterro sanitário, aterro de propriedades particulares</t>
  </si>
  <si>
    <t>Bairro Taquaral</t>
  </si>
  <si>
    <t>23°07'25"S 50°12'21"W</t>
  </si>
  <si>
    <t>02</t>
  </si>
  <si>
    <t>NÃO SE APLICA</t>
  </si>
  <si>
    <t>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</si>
  <si>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não</t>
  </si>
  <si>
    <t>137/2002</t>
  </si>
  <si>
    <t>Esse tipo de resíduo é de responsabilidade do fornecedor dar destinação final. Os gerados pelo município (saúde) tem empresa terceirizada contratada para destinação final</t>
  </si>
  <si>
    <t>Embalagens de papel, Embalagens em geral</t>
  </si>
  <si>
    <t>23°06'37"S 50°11'09"W</t>
  </si>
  <si>
    <t>Barracão</t>
  </si>
  <si>
    <t>02604</t>
  </si>
  <si>
    <t>Consórcio Intermunicipal da Fronteira - CIF, Consórcio Intermunicipal de Saneamento do Paraná - CISPAR, Consórcio Público Intermunicipal para o Desenvolvimento Sustentável da Região Sudoeste do Estado do Paraná - CIFRA, Consórcio Intermunicipal de Saúde do Sudoeste - CONSUD</t>
  </si>
  <si>
    <t>Barracão /pr</t>
  </si>
  <si>
    <t>Nova Esperança do Sudoeste</t>
  </si>
  <si>
    <t>nao possui</t>
  </si>
  <si>
    <t>nao hà</t>
  </si>
  <si>
    <t>nâo hà</t>
  </si>
  <si>
    <t>naõ há</t>
  </si>
  <si>
    <t>nao ha</t>
  </si>
  <si>
    <t>Acordo de Cooperação ou outro sem repasse financeiro, Não há documento de formalização da parceria</t>
  </si>
  <si>
    <t>25°54′25″S 53°15′46″O</t>
  </si>
  <si>
    <t>R. Juscelino Kubitscheck, 130 - Centro, Nova Esperança do Sudoeste - PR, 85635-000</t>
  </si>
  <si>
    <t>Nenhuma das opções anteriores são feitas</t>
  </si>
  <si>
    <t>Licença ambiental simplificada- 248304 e Licença de operação ampliação- 249177</t>
  </si>
  <si>
    <t>Lei Municipal nº 2444/2024</t>
  </si>
  <si>
    <t>Bela Vista da Caroba</t>
  </si>
  <si>
    <t>02752</t>
  </si>
  <si>
    <t>francisco beltrão</t>
  </si>
  <si>
    <t>nao</t>
  </si>
  <si>
    <t xml:space="preserve">lei </t>
  </si>
  <si>
    <t>lei 428/2012</t>
  </si>
  <si>
    <t>proprietario</t>
  </si>
  <si>
    <t>incerto</t>
  </si>
  <si>
    <t>não ha</t>
  </si>
  <si>
    <t>nova esperança do sudoeste</t>
  </si>
  <si>
    <t>nao sei</t>
  </si>
  <si>
    <t>codigo tributario</t>
  </si>
  <si>
    <t>CADA ESTABELECIMENTO FAZ O DESTINO REVERSO</t>
  </si>
  <si>
    <t>Eletroeletrônicos e seus componentes, Lâmpadas fluorescentes, de vapor de sódio e mercúrio e de luz mista, Móveis, colchões e demais resíduos volumosos</t>
  </si>
  <si>
    <t>NAO/HA</t>
  </si>
  <si>
    <t>07124</t>
  </si>
  <si>
    <t>Diamante do Sul</t>
  </si>
  <si>
    <t>Bela Vista do Paraíso</t>
  </si>
  <si>
    <t>02802</t>
  </si>
  <si>
    <t>NENHUMA</t>
  </si>
  <si>
    <t>NAO POSSUI</t>
  </si>
  <si>
    <t>Resíduos industriais, Resíduos de serviços de saúde</t>
  </si>
  <si>
    <t>LEI 1314/2020</t>
  </si>
  <si>
    <t>LAS 274193</t>
  </si>
  <si>
    <t>RODOVIA PR 0-90</t>
  </si>
  <si>
    <t>4828530 -74540092</t>
  </si>
  <si>
    <t>LONDRINA-PR</t>
  </si>
  <si>
    <t>-23396824, -51130591</t>
  </si>
  <si>
    <t>RODOVIA CELSO GARCIA CID, GLEBA,12633</t>
  </si>
  <si>
    <t>NAO HA</t>
  </si>
  <si>
    <t>1. Agrotóxicos, seus resíduos e embalagens - InpEV - Instituto Nacional de Processamento de Embalagens Vazias, 17. Pneus inservíveis - Associação RECICLANIP</t>
  </si>
  <si>
    <t>Agrotóxicos, seus resíduos e embalagens, Eletroeletrônicos e seus componentes, Lâmpadas fluorescentes, de vapor de sódio e mercúrio e de luz mista, Pneus inservíveis</t>
  </si>
  <si>
    <t>4852853.0 - 7454009.2</t>
  </si>
  <si>
    <t>Bituruna</t>
  </si>
  <si>
    <t>02901</t>
  </si>
  <si>
    <t>Lei 2213/2022</t>
  </si>
  <si>
    <t>1644/2012</t>
  </si>
  <si>
    <t>Lei</t>
  </si>
  <si>
    <t>Veículos para coleta seletiva de materiais recicláveis, Veículos para coleta de resíduos orgânicos provenientes de podas e jardinagem, Veículos para a coleta de resíduos orgânicos (sobras alimentares), Unidade de Triagem de Materiais Recicláveis, Unidade de Compostagem, Ampliação ou adequação de aterro sanitário, Equipamentos para a unidade de triagem de materiais recicláveis, Equipamentos para a unidade de compostagem</t>
  </si>
  <si>
    <t>Possui, mas foi elaborado seguindo outro termo de referência.</t>
  </si>
  <si>
    <t>42.5</t>
  </si>
  <si>
    <t>32.5</t>
  </si>
  <si>
    <t>Realiza coleta de vias públicas e descartes irregulares, Possui Ponto de Entrega Voluntária/Ecoponto</t>
  </si>
  <si>
    <t>Trituração e compostagem dos resíduos verdes (provenientes de podas e jardinagem), Pátio de compostagem</t>
  </si>
  <si>
    <t>Arborização urbana, Jardins públicos</t>
  </si>
  <si>
    <t>Compostagem em leiras</t>
  </si>
  <si>
    <t>Arborização urbana, Jardins Públicos</t>
  </si>
  <si>
    <t>26° 9'48.68"S 51°36'50.48"O</t>
  </si>
  <si>
    <t>Reciclinho</t>
  </si>
  <si>
    <t>Há impermeabilização no fundo e nas laterais (geomembrana), Há poços de monitoramento, Realiza a cobertura diária dos resíduos, Realiza o monitoramento de corpos hídricos no entorno</t>
  </si>
  <si>
    <t>Triagem manual, Triagem mecanizada</t>
  </si>
  <si>
    <t>Compostagem, Reciclagem das frações inorgânicas (metais, plásticos, vidros etc.)</t>
  </si>
  <si>
    <t>las 159700</t>
  </si>
  <si>
    <t>03/2017</t>
  </si>
  <si>
    <t>1. Agrotóxicos, seus resíduos e embalagens - InpEV - Instituto Nacional de Processamento de Embalagens Vazias, 12. Medicamentos de uso veterinário - BHS Comércio e Serviços de Produtos para Saúde LTDA, 15. Perfurocortantes do GRUPO E, incluindo seringas e canetas injetoras - BHS Comércio e Serviços de Produtos para Saúde LTDA., 17. Pneus inservíveis - Associação RECICLANIP</t>
  </si>
  <si>
    <t>Agrotóxicos, seus resíduos e embalagens, Pneus inservíveis</t>
  </si>
  <si>
    <t>Boa Esperança do Iguaçu</t>
  </si>
  <si>
    <t>03024</t>
  </si>
  <si>
    <t>FRANCISCO BELTRÃO</t>
  </si>
  <si>
    <t xml:space="preserve">O Município participa do CONSUD mas ele não está estruturado ainda e em funcionamento fisico.  </t>
  </si>
  <si>
    <t>PEMA</t>
  </si>
  <si>
    <t>296/2014</t>
  </si>
  <si>
    <t xml:space="preserve">utilizado na recuperação de estradas/ou locais que necessitam </t>
  </si>
  <si>
    <t>Pontos de entrega voluntária</t>
  </si>
  <si>
    <t>Poder público, Empresa privada (terceirizada)</t>
  </si>
  <si>
    <t>Poder Público, Empresas Privada (terceirizada)</t>
  </si>
  <si>
    <t>DOIS VIZINHOS - PR</t>
  </si>
  <si>
    <t>-25.796030126474143, -53.02716733040083</t>
  </si>
  <si>
    <t>SAIDA VERE</t>
  </si>
  <si>
    <t>A EMPRESA CONTRATADA SEGUE TODAS AS EXIGENCIAS LEGAIS E AMBIENTAIS</t>
  </si>
  <si>
    <t>REALIZADA POR EMPRESA TERCEIRIZADA NO ATERRO SANITARIO</t>
  </si>
  <si>
    <t>NÃO TENHO EM MÃOS NO MOMENTO</t>
  </si>
  <si>
    <t>Eletroeletrônicos e seus componentes</t>
  </si>
  <si>
    <t>03222</t>
  </si>
  <si>
    <t>Bom Sucesso do Sul</t>
  </si>
  <si>
    <t>Boa Ventura de São Roque</t>
  </si>
  <si>
    <t>03040</t>
  </si>
  <si>
    <t>não participa de consorcio</t>
  </si>
  <si>
    <t>Não possui, Lei Orgânica</t>
  </si>
  <si>
    <t>Veículos para coleta indiferenciada (convencional), Veículos para coleta seletiva de materiais recicláveis, Unidade de Triagem de Materiais Recicláveis, Ecopontos ou Pontos de Entrega Voluntária, Equipamentos para a unidade de triagem de materiais recicláveis</t>
  </si>
  <si>
    <t>Realiza coleta de pequenos geradores, Realiza coleta de vias públicas e descartes irregulares, Não possui ponto de entrega volutária</t>
  </si>
  <si>
    <t>Área de triagem e transbordo de RCC, aterros de lotes</t>
  </si>
  <si>
    <t>24°52'08.0"S 51°31'36.1"W</t>
  </si>
  <si>
    <t>estrada principal acesso Barro Preto</t>
  </si>
  <si>
    <t>Há impermeabilização no fundo e nas laterais (geomembrana), Há poços de monitoramento, Realiza a cobertura diária dos resíduos</t>
  </si>
  <si>
    <t>60.00,00</t>
  </si>
  <si>
    <t>8. Lâmpadas fluorescentes, de vapor de sódio e mercúrio e de luz mista - RECICLUS - Associação Brasileira para Gestão da Logística Reversa de Produtos de Iluminação;, nenhum</t>
  </si>
  <si>
    <t xml:space="preserve">24°53'59.7"S 51°33'48.1"W </t>
  </si>
  <si>
    <t>16604</t>
  </si>
  <si>
    <t>Nova América da Colina</t>
  </si>
  <si>
    <t>Boa Vista da Aparecida</t>
  </si>
  <si>
    <t>03057</t>
  </si>
  <si>
    <t>Lei 451/2020</t>
  </si>
  <si>
    <t xml:space="preserve"> Lei Complementar nº 237/2021 do Paraná</t>
  </si>
  <si>
    <t>Lei 356/2019</t>
  </si>
  <si>
    <t>Veículos para coleta de resíduos orgânicos provenientes de podas e jardinagem, Veículos para a coleta de resíduos orgânicos (sobras alimentares), Unidade de Compostagem, Ecopontos ou Pontos de Entrega Voluntária, Equipamentos para a unidade de compostagem</t>
  </si>
  <si>
    <t>RLAS N.°289111</t>
  </si>
  <si>
    <t>LOTE RURAL N°86-C, DA GLEBA N°08, DO IMÓVEL ANDRADA, s/n - 85780-000 - Boa Vista da Aparecida/PR</t>
  </si>
  <si>
    <t>-25.479553 -53.426142</t>
  </si>
  <si>
    <t>-24.982378 -53.292291</t>
  </si>
  <si>
    <t>Rodovia BR 277 Km 573 s/n Fazenda São Domingos - 85818-560 - Cascavel/PR</t>
  </si>
  <si>
    <t>Há canalização do gás, Há aproveitamento energético do gás gerado (geradores),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</si>
  <si>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RLO n.°102861</t>
  </si>
  <si>
    <t>Lei Complementar n.°003/2013</t>
  </si>
  <si>
    <t>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t>
  </si>
  <si>
    <t>1. Instituto de Promoção e Apoio à Reciclagem – InPAR;, 2. Instituto Brasileiro de Logística Reversa – ILOG;</t>
  </si>
  <si>
    <t>-25.435064 -53.388988</t>
  </si>
  <si>
    <t>AA n.°50566</t>
  </si>
  <si>
    <t>Bom Jesus do Sul</t>
  </si>
  <si>
    <t>03156</t>
  </si>
  <si>
    <t>Consórcio Intermunicipal de Saúde do Sudoeste - CONSUD</t>
  </si>
  <si>
    <t>Francisco Beltrão</t>
  </si>
  <si>
    <t>Coleta e Transporte, Triagem, Transbordo, Tratamento, Elaboração do Plano de RSU</t>
  </si>
  <si>
    <t>Não se aplica</t>
  </si>
  <si>
    <t>DE RESPONSABILIDADE DO PROPRIETÁRIO</t>
  </si>
  <si>
    <t>NOVA ESPERANÇA DO SUDOESTE/PR</t>
  </si>
  <si>
    <t>LAT. 25.880155° LON. 53.227166°</t>
  </si>
  <si>
    <t>LINHA SÃO LUIZ, Nº 41, LOTE RURAL DA GLEBA 60- FB.</t>
  </si>
  <si>
    <t>NÃO TEMOS CONHECIMENTO.</t>
  </si>
  <si>
    <t>LICENÇA DE OPERAÇÃO Nº DO DOCUMENTO: 249177-R1</t>
  </si>
  <si>
    <t xml:space="preserve">1050/2021                         </t>
  </si>
  <si>
    <t>Eletroeletrônicos e seus componentes, Lâmpadas fluorescentes, de vapor de sódio e mercúrio e de luz mista, Medicamentos de uso humano, Medicamentos de uso veterinário, Perfurocortantes do GRUPO E, incluindo seringas e canetas injetoras, Pilhas e baterias portáteis, Pneus inservíveis, Móveis, colchões e demais resíduos volumosos</t>
  </si>
  <si>
    <t>Bom Sucesso</t>
  </si>
  <si>
    <t>03206</t>
  </si>
  <si>
    <t>Não participa de consórcio</t>
  </si>
  <si>
    <t>Lei nº1380 de 04 de julho de 2013</t>
  </si>
  <si>
    <t>terreno da prefeitura</t>
  </si>
  <si>
    <t>Itambe</t>
  </si>
  <si>
    <t>-23.625898  -51.968666</t>
  </si>
  <si>
    <t>LOTE Nº 358, gleba do Ribeirão Aquidaben</t>
  </si>
  <si>
    <t>Licena de Operação nº340208-R1</t>
  </si>
  <si>
    <t>LEI Nº1665/2022</t>
  </si>
  <si>
    <t>Outras Formas de Controle Social</t>
  </si>
  <si>
    <t>Agrotóxicos, seus resíduos e embalagens</t>
  </si>
  <si>
    <t>-23.729882   -51.772769</t>
  </si>
  <si>
    <t>n/A</t>
  </si>
  <si>
    <t>23956</t>
  </si>
  <si>
    <t>Santa Mônica</t>
  </si>
  <si>
    <t>Borrazópolis</t>
  </si>
  <si>
    <t>03305</t>
  </si>
  <si>
    <t>Não participa</t>
  </si>
  <si>
    <t>Lei nº 991/2011</t>
  </si>
  <si>
    <t>Veículos para coleta indiferenciada (convencional), Veículos para coleta seletiva de materiais recicláveis, Unidade de Triagem de Materiais Recicláveis, Unidade de Transbordo, Equipamentos para a unidade de triagem de materiais recicláveis</t>
  </si>
  <si>
    <t>Associação de Catadores de Material Reciclaves de Borrazopolis- Via contrato de Prestação de serviços</t>
  </si>
  <si>
    <t>Area  do Triturador de recebimento de Podas de Arborização e  residuos de RCC</t>
  </si>
  <si>
    <t>LAS</t>
  </si>
  <si>
    <t>PRT 466 km 3 Bairro Aviação</t>
  </si>
  <si>
    <t>-23.9138501 - 51.6199768</t>
  </si>
  <si>
    <t xml:space="preserve">Não Há, </t>
  </si>
  <si>
    <t>-23.5958378 -51.4637100</t>
  </si>
  <si>
    <t>Estrada Barra Nova, 1500, Gleba Nova Ucrania</t>
  </si>
  <si>
    <t>na há</t>
  </si>
  <si>
    <t>Lei complementar 727/2005</t>
  </si>
  <si>
    <t>Eletroeletrônicos e seus componentes, Medicamentos de uso humano, Pneus inservíveis, Móveis, colchões e demais resíduos volumosos</t>
  </si>
  <si>
    <t>-23.9096636 - 51.6219469</t>
  </si>
  <si>
    <t>Cafeara</t>
  </si>
  <si>
    <t>03404</t>
  </si>
  <si>
    <t>o município não tem grandes geradores</t>
  </si>
  <si>
    <t>558/2020</t>
  </si>
  <si>
    <t xml:space="preserve">não recolhe lixo na area rural </t>
  </si>
  <si>
    <t>TERRENO DA PREFEITURA RESIDUOS SÃO REUTILIZADOS NAS ESTRADAS RURAIS</t>
  </si>
  <si>
    <t>LICENÇA AMBIENTAL SIMPLIFICADA 330043</t>
  </si>
  <si>
    <t xml:space="preserve">ESTRADA BOIADEIRA SN VILA MERCANTIL </t>
  </si>
  <si>
    <t xml:space="preserve"> -42.71826 -74.788828  </t>
  </si>
  <si>
    <t>Pátio de compostagem</t>
  </si>
  <si>
    <t>REJENTE FEIJO SP</t>
  </si>
  <si>
    <t>-22.30806 -51.26845</t>
  </si>
  <si>
    <t>ATERRO SANITARIO ESTANCIA G4II SÃO SEBASTIÃO 19570000</t>
  </si>
  <si>
    <t>LICENÇA AMBIENTAL DE OPERAÇÃO 12000476</t>
  </si>
  <si>
    <t>187/2000</t>
  </si>
  <si>
    <t>Lâmpadas fluorescentes, de vapor de sódio e mercúrio e de luz mista, Pneus inservíveis, vidros</t>
  </si>
  <si>
    <t xml:space="preserve">n/a </t>
  </si>
  <si>
    <t>06100</t>
  </si>
  <si>
    <t>Conselheiro Mairinck</t>
  </si>
  <si>
    <t>Cafelândia</t>
  </si>
  <si>
    <t>03453</t>
  </si>
  <si>
    <t>3142.01</t>
  </si>
  <si>
    <t>55.01</t>
  </si>
  <si>
    <t>11.24</t>
  </si>
  <si>
    <t>32.22</t>
  </si>
  <si>
    <t>215460-R1</t>
  </si>
  <si>
    <t>PR 180, Km04</t>
  </si>
  <si>
    <t>-24.655272439817953, -53.34483510144054</t>
  </si>
  <si>
    <t>Pontos e entrega voluntária, Por demanda</t>
  </si>
  <si>
    <t>-24.983775723524886, -53.294770930111994</t>
  </si>
  <si>
    <t>Aterro Industrial Rodovia BR 277 Km 573 s/n Fazenda São Domingos</t>
  </si>
  <si>
    <t>Não Realiza</t>
  </si>
  <si>
    <t>274599-R2</t>
  </si>
  <si>
    <t>310.19</t>
  </si>
  <si>
    <t>306.13</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</si>
  <si>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9. Medicamentos de uso humano - BHS Comercio e Serviços de Produtos para Saúde LTDA.;, 17. Pneus inservíveis - Associação RECICLANIP</t>
  </si>
  <si>
    <t>Eletroeletrônicos e seus componentes, Pneus inservíveis</t>
  </si>
  <si>
    <t>-24.65524451905284, -53.34536272447206</t>
  </si>
  <si>
    <t>21307</t>
  </si>
  <si>
    <t>Rancho Alegre</t>
  </si>
  <si>
    <t>Cafezal do Sul</t>
  </si>
  <si>
    <t>03479</t>
  </si>
  <si>
    <t>CAFEZAL DO SUL</t>
  </si>
  <si>
    <t>Veículos para coleta indiferenciada (convencional), Veículos para coleta seletiva de materiais recicláveis, Unidade de Triagem de Materiais Recicláveis, Ampliação ou adequação de aterro sanitário, Equipamentos para a unidade de triagem de materiais recicláveis</t>
  </si>
  <si>
    <t>-23.9475739 -53.5192665</t>
  </si>
  <si>
    <t>ESTRADA SÃO PAULO, LOTE 480-A</t>
  </si>
  <si>
    <t>Há canalização do gás, Há impermeabilização no fundo e nas laterais (geomembrana), Há coleta de chorume</t>
  </si>
  <si>
    <t xml:space="preserve">LICENCA AMBIENTAL </t>
  </si>
  <si>
    <t>LEI Nº 172/1998</t>
  </si>
  <si>
    <t>Eletroeletrônicos e seus componentes, Lâmpadas fluorescentes, de vapor de sódio e mercúrio e de luz mista, Óleo Lubrificante e Embalagens de óleos lubrificantes, Pilhas e baterias portáteis, Pneus inservíveis</t>
  </si>
  <si>
    <t>Cambará</t>
  </si>
  <si>
    <t>03602</t>
  </si>
  <si>
    <t>Coleta e Transporte, Triagem</t>
  </si>
  <si>
    <t>nº 94/2019 de 2019</t>
  </si>
  <si>
    <t xml:space="preserve"> 1629 de 2015</t>
  </si>
  <si>
    <t xml:space="preserve"> nº1504 de 2012</t>
  </si>
  <si>
    <t>Veículos para coleta indiferenciada (convencional), Veículos para coleta seletiva de materiais recicláveis, Veículos para coleta de resíduos orgânicos provenientes de podas e jardinagem, Unidade de Triagem de Materiais Recicláveis, Ecopontos ou Pontos de Entrega Voluntária, Equipamentos para a unidade de triagem de materiais recicláveis</t>
  </si>
  <si>
    <t>nº 1504 de02012</t>
  </si>
  <si>
    <t>Assai</t>
  </si>
  <si>
    <t>-23.402724875817196, -50.84476163434818</t>
  </si>
  <si>
    <t xml:space="preserve"> Acesso Seccao Figueira, Lotes 135 A1, 135 Ba1, 136 A1 - Zona Rural, Assai</t>
  </si>
  <si>
    <t>Há canalização do gás, Há flare/queimador dos gases gerados, sem aproveitamento energético, Realiza a cobertura diária dos resíduos</t>
  </si>
  <si>
    <t>simplificada nº 265344-R1</t>
  </si>
  <si>
    <t>3. Eletroeletrônicos e seus componentes - ABREE - Associação Brasileira de Reciclagem de Eletroeletrônicos e Eletrodomésticos;, 5. Eletroeletrônicos e seus componentes - Elgin SA.</t>
  </si>
  <si>
    <t>Eletroeletrônicos e seus componentes, Embalagens de papel, Pilhas e baterias portáteis, Móveis, colchões e demais resíduos volumosos</t>
  </si>
  <si>
    <t>01655</t>
  </si>
  <si>
    <t>Arapuã</t>
  </si>
  <si>
    <t>Cambé</t>
  </si>
  <si>
    <t>03701</t>
  </si>
  <si>
    <t>Resíduos de serviços de saúde, Resíduos da construção civil</t>
  </si>
  <si>
    <t>Lei Municipal nº 2875/2017.</t>
  </si>
  <si>
    <t>Lei Complementar nº 237/2021 - Anexo II - MRAE-2.</t>
  </si>
  <si>
    <t>Lei Municipal nº 2912/2018.</t>
  </si>
  <si>
    <t>Os moradores.</t>
  </si>
  <si>
    <t>34725.00</t>
  </si>
  <si>
    <t>Arborização urbana, Jardins públicos, Outro uso</t>
  </si>
  <si>
    <t>Aterro Controlado</t>
  </si>
  <si>
    <t>.</t>
  </si>
  <si>
    <t>-23.23732 -51.28263</t>
  </si>
  <si>
    <t>Estrada da Prata, Km 04, Lote 161-C, Cambé, 86181-000.</t>
  </si>
  <si>
    <t>Há coleta de chorume, Há poços de monitoramento</t>
  </si>
  <si>
    <t>Licença de Operação nº28696 (Vencida).</t>
  </si>
  <si>
    <t>Lei Complementar nº 34, de 26 de Dezembro de 2013.</t>
  </si>
  <si>
    <t>2342190.55</t>
  </si>
  <si>
    <t>11411615.41</t>
  </si>
  <si>
    <t>5040987.99</t>
  </si>
  <si>
    <t>2044447.41</t>
  </si>
  <si>
    <t>480354.15</t>
  </si>
  <si>
    <t>3845825.83</t>
  </si>
  <si>
    <t>Medicamentos de uso humano, Pneus inservíveis</t>
  </si>
  <si>
    <t>-23.26787 -51.29009</t>
  </si>
  <si>
    <t>Cambira</t>
  </si>
  <si>
    <t>03800</t>
  </si>
  <si>
    <t>Não participa de consórcios para gestão de RSU</t>
  </si>
  <si>
    <t>Lei Complementar nº 237/2021</t>
  </si>
  <si>
    <t>Não há coleta rural</t>
  </si>
  <si>
    <t>outro</t>
  </si>
  <si>
    <t>Não há unidade de transbordo.</t>
  </si>
  <si>
    <t>Apucarana - PR</t>
  </si>
  <si>
    <t>-23.59523895591068, -51.463589613494186</t>
  </si>
  <si>
    <t>Estrada Barra Nova, 1500 (Estrada Nova Ukrânia) Gleba, Estr. Nova Ucrânia - Gleba Nova Ucrânia, Apucarana - PR, 86800-000</t>
  </si>
  <si>
    <t>Licença Operação 319148-R2</t>
  </si>
  <si>
    <t>Não há transbordo.</t>
  </si>
  <si>
    <t>174.38</t>
  </si>
  <si>
    <t xml:space="preserve">-23.625835, -51.583757
</t>
  </si>
  <si>
    <t>N/A.</t>
  </si>
  <si>
    <t>Campina do Simão</t>
  </si>
  <si>
    <t>03958</t>
  </si>
  <si>
    <t>LEI COMPLEMENTAR Nº 11/2021 - PLANO MUNICIPAL DE SANEAMENTO BÁSICO</t>
  </si>
  <si>
    <t>Área de bota fora</t>
  </si>
  <si>
    <t>LAS n.º 332171</t>
  </si>
  <si>
    <t>Distrito Industrial Losso, S/N</t>
  </si>
  <si>
    <t>-25.135667° -51.802552°</t>
  </si>
  <si>
    <t>Guarapuava</t>
  </si>
  <si>
    <t>-25.278469° -51.540420°</t>
  </si>
  <si>
    <t>Pr 466 km 13, Linha Prestes</t>
  </si>
  <si>
    <t>Há canalização do gás, Há impermeabilização no fundo e nas laterais (geomembrana), Há coleta de chorume, Há tratamento do chorume (IN 33/2025 e Portaria IAP 259/2014), Há poços de monitoramento, Realiza a cobertura diária dos resíduos, Realiza o monitoramento de corpos hídricos no entorno</t>
  </si>
  <si>
    <t>419748.00 m E  7221262.00 m S</t>
  </si>
  <si>
    <t>13403</t>
  </si>
  <si>
    <t>Leópolis</t>
  </si>
  <si>
    <t>06555</t>
  </si>
  <si>
    <t>Corumbataí do Sul</t>
  </si>
  <si>
    <t>Campina Grande do Sul</t>
  </si>
  <si>
    <t>04006</t>
  </si>
  <si>
    <t>Curitiba-PR</t>
  </si>
  <si>
    <t>Fazenda Rio Grande - PR</t>
  </si>
  <si>
    <t>Temos a Lei Municipal 667/2019, porem a mesma não trata sobre grandes geradores</t>
  </si>
  <si>
    <t>Resíduos industriais, Resíduos dos estabelecimentos comerciais e de prestação de serviços que geram resíduos perigosos ou resíduos que não sejam equiparados aos resíduos domiciliares, Resíduos de serviços de transportes, Resíduos agrossilvopastoris, O município não exige Plano de Gerenciamento de Resíduos Sólidos</t>
  </si>
  <si>
    <t>Resolução 01/2024 MRAE1</t>
  </si>
  <si>
    <t>Lei Municipal 667/2019</t>
  </si>
  <si>
    <t>Unidade de Triagem de Materiais Recicláveis, Unidade de Transbordo, Ecopontos ou Pontos de Entrega Voluntária, Equipamentos para a unidade de triagem de materiais recicláveis</t>
  </si>
  <si>
    <t>Realiza coleta de pequenos geradores, Realiza coleta de grandes geradores, Realiza coleta de vias públicas e descartes irregulares</t>
  </si>
  <si>
    <t>Rua João Amílton Belo, 167 - Área Industrial - Campina Grande do Sul. Final da rua.</t>
  </si>
  <si>
    <t>-25.349710, -49.066283</t>
  </si>
  <si>
    <t>Fazenda Rio Grande-PR</t>
  </si>
  <si>
    <t>-25.662740, -49.338759</t>
  </si>
  <si>
    <t>Há canalização do gás, Há flare/queimador dos gases gerados, sem aproveitamento energético, Há coleta de chorume, Há tratamento do chorume (IN 33/2025 e Portaria IAP 259/2014), Há poços de monitoramento, Realiza a cobertura diária dos resíduos</t>
  </si>
  <si>
    <t>Lei Complementar n° 01/2005</t>
  </si>
  <si>
    <t>Não sabemos</t>
  </si>
  <si>
    <t>Eletroeletrônicos e seus componentes, Embalagens de aço, Embalagens de papel, Embalagens em geral, Medicamentos de uso humano, Perfurocortantes do GRUPO E, incluindo seringas e canetas injetoras, Pneus inservíveis, Móveis, colchões e demais resíduos volumosos</t>
  </si>
  <si>
    <t>03370</t>
  </si>
  <si>
    <t>Brasilândia do Sul</t>
  </si>
  <si>
    <t>Campo Bonito</t>
  </si>
  <si>
    <t>04055</t>
  </si>
  <si>
    <t>Nao participa de consorcio</t>
  </si>
  <si>
    <t>Nao possui</t>
  </si>
  <si>
    <t>Lei 1077/2013</t>
  </si>
  <si>
    <t>Nao ha</t>
  </si>
  <si>
    <t>Lei 05/2025</t>
  </si>
  <si>
    <t>Veículos para coleta de resíduos orgânicos provenientes de podas e jardinagem, Unidade de Compostagem, Equipamentos para a unidade de compostagem</t>
  </si>
  <si>
    <t>nao há</t>
  </si>
  <si>
    <t>1.2</t>
  </si>
  <si>
    <t>Area Bota Fora.</t>
  </si>
  <si>
    <t>07</t>
  </si>
  <si>
    <t>Possui area.</t>
  </si>
  <si>
    <t>-25.026198 -53.012502</t>
  </si>
  <si>
    <t>Linha Canela</t>
  </si>
  <si>
    <t>Há impermeabilização no fundo e nas laterais (geomembrana), Há coleta de chorume, Há poços de monitoramento, Realiza a cobertura diária dos resíduos, Realiza o monitoramento de corpos hídricos no entorno</t>
  </si>
  <si>
    <t>licença de operação</t>
  </si>
  <si>
    <t>Lei 175/1994</t>
  </si>
  <si>
    <t>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17. Pneus inservíveis - Associação RECICLANIP</t>
  </si>
  <si>
    <t>3. Polen Consultoria e Intermediação de Negócios em Sustentabilidade Ltda.;</t>
  </si>
  <si>
    <t>Lâmpadas fluorescentes, de vapor de sódio e mercúrio e de luz mista, Pneus inservíveis</t>
  </si>
  <si>
    <t>não há.</t>
  </si>
  <si>
    <t>Campo do Tenente</t>
  </si>
  <si>
    <t>04105</t>
  </si>
  <si>
    <t>11445/2007</t>
  </si>
  <si>
    <t>Veículos para coleta indiferenciada (convencional), Veículos para coleta de resíduos orgânicos provenientes de podas e jardinagem, Unidade de Transbordo</t>
  </si>
  <si>
    <t>Mafra - SC</t>
  </si>
  <si>
    <t>-26.183813, -49.880027</t>
  </si>
  <si>
    <t>Rod. Senador Luiz Henrique da Silveira - Mafra/SC</t>
  </si>
  <si>
    <t>Há canalização do gás, Há flare/queimador dos gases gerados, sem aproveitamento energético, Há aproveitamento energético do gás gerado (geradores), Há coleta de chorume, Realiza a cobertura diária dos resíduos</t>
  </si>
  <si>
    <t xml:space="preserve"> Não há</t>
  </si>
  <si>
    <t>Lei Complementar 1/2008</t>
  </si>
  <si>
    <t>Embalagens de papel, Embalagens em geral, Medicamentos de uso humano, Móveis, colchões e demais resíduos volumosos</t>
  </si>
  <si>
    <t>Campo Largo</t>
  </si>
  <si>
    <t>04204</t>
  </si>
  <si>
    <t>Decreto Municipal N.º 79/2015</t>
  </si>
  <si>
    <t>Lei 2833/2016</t>
  </si>
  <si>
    <t>Lei 3816/2024</t>
  </si>
  <si>
    <t>Unidade de Triagem de Materiais Recicláveis, Unidade de Transbordo, Ecopontos ou Pontos de Entrega Voluntária</t>
  </si>
  <si>
    <t>Não realizamos coleta de RCC dos moradores</t>
  </si>
  <si>
    <t>Av. dos Expedicionários, 4851 - Bom Jesus, Campo Largo - PR</t>
  </si>
  <si>
    <t>-25.461707846877097, -49.557728950358296</t>
  </si>
  <si>
    <t>Porta-a-porta, Lixeiras comunitárias</t>
  </si>
  <si>
    <t>-25.65724278552521, -49.342534141597014</t>
  </si>
  <si>
    <t>Há flare/queimador dos gases gerados, sem aproveitamento energético, Há tratamento do chorume (IN 33/2025 e Portaria IAP 259/2014)</t>
  </si>
  <si>
    <t>Lei 2087/2008</t>
  </si>
  <si>
    <t>651.48</t>
  </si>
  <si>
    <t>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11. Medicamentos de uso humano - Sindusfarma - Sindicato da Indústria de Produtos Farmacêuticos, 16. Pilhas e baterias portáteis - ABREE - Associação Brasileira de Reciclagem de Eletroeletrônicos e Eletrodomésticos, 17. Pneus inservíveis - Associação RECICLANIP</t>
  </si>
  <si>
    <t>1. Instituto de Promoção e Apoio à Reciclagem – InPAR;, 2. Instituto Brasileiro de Logística Reversa – ILOG;, 5. Instituto Recicleiros;, 7. ABIHPEC – Associação Brasileira da Indústria de Higiene Pessoal, Perfumaria e Cosméticos;</t>
  </si>
  <si>
    <t>-25.43562429845298, -49.59881950706556</t>
  </si>
  <si>
    <t>Campo Mourão</t>
  </si>
  <si>
    <t>04303</t>
  </si>
  <si>
    <t>Não participa de consórico</t>
  </si>
  <si>
    <t>14/2006</t>
  </si>
  <si>
    <t>Resíduos industriais, Resíduos da construção civil, Resíduos dos estabelecimentos comerciais e de prestação de serviços que geram resíduos perigosos ou resíduos que não sejam equiparados aos resíduos domiciliares</t>
  </si>
  <si>
    <t>Lei 3993/2019</t>
  </si>
  <si>
    <t>Lei 3898/2018</t>
  </si>
  <si>
    <t>Veículos para coleta indiferenciada (convencional), Veículos para coleta seletiva de materiais recicláveis, Veículos para coleta de resíduos orgânicos provenientes de podas e jardinagem, Ampliação ou adequação de aterro sanitário, Ecopontos ou Pontos de Entrega Voluntária</t>
  </si>
  <si>
    <t>Lei 4174/2020</t>
  </si>
  <si>
    <t>Compostagem comunitária em escolas, associações de moradores, hortas comunitárias, Pátio de compostagem</t>
  </si>
  <si>
    <t>Jardins públicos</t>
  </si>
  <si>
    <t>Jardins Públicos</t>
  </si>
  <si>
    <t>22350170,65  - 7341847,03</t>
  </si>
  <si>
    <t>Rodovia PR, 487</t>
  </si>
  <si>
    <t>296377-R1</t>
  </si>
  <si>
    <t>10732/2023</t>
  </si>
  <si>
    <t>9. Associação Brasileira de Bebidas – ABRABE;</t>
  </si>
  <si>
    <t>Agrotóxicos, seus resíduos e embalagens, Baterias de chumbo ácido, Eletroeletrônicos e seus componentes, Embalagens de aço, Embalagens de papel, Embalagens em geral, Filtros de óleos lubrificantes, Lâmpadas fluorescentes, de vapor de sódio e mercúrio e de luz mista, Medicamentos de uso humano, Medicamentos de uso veterinário, Óleo Lubrificante e Embalagens de óleos lubrificantes, Perfurocortantes do GRUPO E, incluindo seringas e canetas injetoras, Pilhas e baterias portáteis, Pneus inservíveis, Produtos saneantes domissanitários desinfestantes, Móveis, colchões e demais resíduos volumosos</t>
  </si>
  <si>
    <t>Candói</t>
  </si>
  <si>
    <t>04428</t>
  </si>
  <si>
    <t>nao participa de nenhum consorcio</t>
  </si>
  <si>
    <t>lei 1112/2011</t>
  </si>
  <si>
    <t>Resíduos dos serviços públicos de saneamento básico, Resíduos industriais, Resíduos de serviços de saúde, Resíduos da construção civil</t>
  </si>
  <si>
    <t>lei</t>
  </si>
  <si>
    <t>numero 1.497 ano 21/12/2018</t>
  </si>
  <si>
    <t>lei 1.112 data 18/12/2011</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</si>
  <si>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Transbordo</t>
  </si>
  <si>
    <t>lei n 1112/2011</t>
  </si>
  <si>
    <t>Área de triagem e transbordo de RCC, Aterro sanitário</t>
  </si>
  <si>
    <t>las 257788</t>
  </si>
  <si>
    <t>PR 560 km</t>
  </si>
  <si>
    <t>-25.550727  -52.002718</t>
  </si>
  <si>
    <t>Chapecó SC</t>
  </si>
  <si>
    <t>-27.0959   -52.3440</t>
  </si>
  <si>
    <t>Acess Angelo Baldissera- chacara 20 km 05, água amarela preci- midici Chapecó Sc</t>
  </si>
  <si>
    <t>LAS 0195714</t>
  </si>
  <si>
    <t>Lei n 512/2003</t>
  </si>
  <si>
    <t>Capanema</t>
  </si>
  <si>
    <t>04501</t>
  </si>
  <si>
    <t>Consórcio Intermunicipal de Saneamento do Paraná - CISPAR, Consórcio Público Intermunicipal para o Desenvolvimento Sustentável da Região Sudoeste do Estado do Paraná - CIFRA, Consórcio Intermunicipal de Saúde do Sudoeste - CONSUD</t>
  </si>
  <si>
    <t>CISPAR - Maringá. CONSUD - Francisco Beltrão. CIFRA - Pérola d'Oeste</t>
  </si>
  <si>
    <t>Triagem, PPP pelo CONSUD, Triagem pelo CISPAR</t>
  </si>
  <si>
    <t>Lei Complementar n° 237/2021 aprovada em 09/07/2021</t>
  </si>
  <si>
    <t>LEI Nº. 1.557, DE 20 DE MAIO DE 2015</t>
  </si>
  <si>
    <t>Unidade de Triagem de Materiais Recicláveis, Unidade de Compostagem</t>
  </si>
  <si>
    <t>LEI Nº 1.443, DE 21 DE MAIO DE 2013.</t>
  </si>
  <si>
    <t>Não realiza a coleta</t>
  </si>
  <si>
    <t>LAS nº 233157</t>
  </si>
  <si>
    <t>Linha São Leopoldo, Pérola d'Oeste, PR</t>
  </si>
  <si>
    <t>222739.4 7141140.2</t>
  </si>
  <si>
    <t>Arborização urbana, Jardins públicos, Doados à população</t>
  </si>
  <si>
    <t>278455.5 7135356.4</t>
  </si>
  <si>
    <t>Linha São Luiz, 41, Lote Rural da Gleba 60-FB, Nova Esperança do Sudoeste PR</t>
  </si>
  <si>
    <t>Há impermeabilização no fundo e nas laterais (geomembrana), Há coleta de chorume, Há tratamento do chorume (IN 33/2025 e Portaria IAP 259/2014), Realiza a cobertura diária dos resíduos</t>
  </si>
  <si>
    <t>Licença de Operação</t>
  </si>
  <si>
    <t>Lei Municipal 850/2000</t>
  </si>
  <si>
    <t>Eletroeletrônicos e seus componentes, Embalagens de aço, Embalagens de papel, Embalagens em geral, Lâmpadas fluorescentes, de vapor de sódio e mercúrio e de luz mista, Pilhas e baterias portáteis, Pneus inservíveis, Móveis, colchões e demais resíduos volumosos</t>
  </si>
  <si>
    <t>254055.5 534842.2</t>
  </si>
  <si>
    <t>Capitão Leônidas Marques</t>
  </si>
  <si>
    <t>04600</t>
  </si>
  <si>
    <t>Consorcio Público dos Municípios do Procaxias</t>
  </si>
  <si>
    <t>Dois Vizinhos/PR</t>
  </si>
  <si>
    <t xml:space="preserve">Nenhuma, </t>
  </si>
  <si>
    <t>LEI Nº 1572 DE 12 DE ABRIL DE 2010</t>
  </si>
  <si>
    <t>LEI Nº 2.503, DE 23 DE DEZEMBRO DE 2020</t>
  </si>
  <si>
    <t>LEI Nº 2.504, DE 23 DE DEZEMBRO DE 2020</t>
  </si>
  <si>
    <t xml:space="preserve">Não realiza coleta convencional na área rural </t>
  </si>
  <si>
    <t xml:space="preserve">Até o momento não é realizado a pesagem dos resíduos provenientes da Construção Civil. </t>
  </si>
  <si>
    <t>LAS - 269566</t>
  </si>
  <si>
    <t xml:space="preserve">Linha São João - Zona Rural </t>
  </si>
  <si>
    <t>-25.50051500947235, -53.62157931045525</t>
  </si>
  <si>
    <t>Ainda não realiza nenhuma ação, Incentivo à compostagem doméstica, Trituração e compostagem dos resíduos verdes (provenientes de podas e jardinagem)</t>
  </si>
  <si>
    <t>Cascavel/PR</t>
  </si>
  <si>
    <t>-24.983077054691787, -53.2952777755528</t>
  </si>
  <si>
    <t>Rodovia BR - 277 S/N, Cascavel/PR</t>
  </si>
  <si>
    <t>O município não realiza a triagem dos resíduos da coleta indiferenciada</t>
  </si>
  <si>
    <t>Licença Operação 274599-R2</t>
  </si>
  <si>
    <t>LEI COMPLEMENTAR Nº 3, DE 19 DE DEZEMBRO DE 2018</t>
  </si>
  <si>
    <t>-25.500476334932525, -53.622224894488205</t>
  </si>
  <si>
    <t>02208</t>
  </si>
  <si>
    <t>Atalaia</t>
  </si>
  <si>
    <t>Carambeí</t>
  </si>
  <si>
    <t>04659</t>
  </si>
  <si>
    <t>NÃO PARTICIPA</t>
  </si>
  <si>
    <t>NÃO PAERTICIPA</t>
  </si>
  <si>
    <t>250/24 NOVEMBRO 2024</t>
  </si>
  <si>
    <t>CONFORME DECRETO 250/24 O PROGRAMA DIGITAL DO PGRS</t>
  </si>
  <si>
    <t>Veículos para coleta seletiva de materiais recicláveis, Ecopontos ou Pontos de Entrega Voluntária, Equipamentos para a unidade de triagem de materiais recicláveis</t>
  </si>
  <si>
    <t>Porta-a-porta, Pontos e entrega voluntária, Conteinerizada</t>
  </si>
  <si>
    <t xml:space="preserve">Município possui contrato de prestação de serviços com o aterro para destinação final  </t>
  </si>
  <si>
    <t>LEI Nº 1.560/2024</t>
  </si>
  <si>
    <t xml:space="preserve">Existe a coleta de embalagens toxicas (produtos para lavoura), medicamentos hospitalares, postos de combustíveis com logística reversa de suas embalagens, baterias e lampadas </t>
  </si>
  <si>
    <t>Carlópolis</t>
  </si>
  <si>
    <t>04709</t>
  </si>
  <si>
    <t xml:space="preserve">Não possui </t>
  </si>
  <si>
    <t>Lei Complementar nº 237/2021, que instituiu as Microrregiões de Água e Esgoto no Estado do Paraná (Carlópolis se inclui na Centro Leste).</t>
  </si>
  <si>
    <t>LEI MUNICIPAL Nº 1.551 DE 25 DE FEVEREIRO DE 2.022</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</si>
  <si>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Equipamentos para a unidade de triagem de materiais recicláveis, Equipamentos para a unidade de compostagem</t>
  </si>
  <si>
    <t>Depósito de resíduos inertes</t>
  </si>
  <si>
    <t>LAS - Nº 330.270</t>
  </si>
  <si>
    <t>Rodovia PR 151, sn Bairro Jaboticabal</t>
  </si>
  <si>
    <t>627816.2 - 7409210.8</t>
  </si>
  <si>
    <t>Porta-a-porta, Conteinerizada</t>
  </si>
  <si>
    <t>"Estre" em Piratininga - SP e/ "MTX Ambiental" em Piraí do Sul - PR</t>
  </si>
  <si>
    <t>-22.466649, -49.205495 e/ -24.599996, -49.987905</t>
  </si>
  <si>
    <t>Rodovia João Baptista Cabral Renno - SP 255 KM 256 - Zona Rural - Piratininga, SP, 17490-000 e/ Distrito Rural Campo do Piraí | Piraí do Sul-PR - 84240-000</t>
  </si>
  <si>
    <t>Próprio Município, Empresa privada</t>
  </si>
  <si>
    <t>LAS - nº 265653</t>
  </si>
  <si>
    <t xml:space="preserve">Lei Municipal </t>
  </si>
  <si>
    <t>1507544,18 total, por ainda não possuirmos dados concretos de R$/ton</t>
  </si>
  <si>
    <t>1353718,21 total, por ainda não possuirmos dados concretos de R$/ton</t>
  </si>
  <si>
    <t>395985,56 total, por ainda não possuirmos dados concretos de R$/ton</t>
  </si>
  <si>
    <t>-23.420881,-49.749329</t>
  </si>
  <si>
    <t>A.A. N° 58985</t>
  </si>
  <si>
    <t>04808</t>
  </si>
  <si>
    <t>Município não participa de Consórcio</t>
  </si>
  <si>
    <t>Lei 6311/2013</t>
  </si>
  <si>
    <t>Instituído antes da promulgação da lei da PNRS</t>
  </si>
  <si>
    <t>Veículos para coleta indiferenciada (convencional), Veículos para coleta seletiva de materiais recicláveis, Veículos para coleta de resíduos orgânicos provenientes de podas e jardinagem, Unidade de Triagem de Materiais Recicláveis, Unidade de Compostagem, Ampliação ou adequação de aterro sanitário, Ecopontos ou Pontos de Entrega Voluntária, Equipamentos para a unidade de compostagem</t>
  </si>
  <si>
    <t>Decreto 9775/2011</t>
  </si>
  <si>
    <t>34.6</t>
  </si>
  <si>
    <t>27.34</t>
  </si>
  <si>
    <t>36.16</t>
  </si>
  <si>
    <t>Usinas de Reciclagem de RCC</t>
  </si>
  <si>
    <t>Porta-a-porta, Pontos institucionais</t>
  </si>
  <si>
    <t>Empresa privada (terceirizada), Associações e cooperativas de catadores de materiais recicláveis</t>
  </si>
  <si>
    <t>-24.850571, -53.485687</t>
  </si>
  <si>
    <t>Lote Rural 050 Imóvel Espigão Azul</t>
  </si>
  <si>
    <t>Há canalização do gás, Há flare/queimador dos gases gerados, sem aproveitamento energético, Há aproveitamento energético do gás gerado (geradores), Há impermeabilização no fundo e nas laterais (geomembrana), Há coleta de chorume, Há tratamento do chorume (IN 33/2025 e Portaria IAP 259/2014), Há poços de monitoramento, Realiza a cobertura diária dos resíduos, Realiza o monitoramento de corpos hídricos no entorno</t>
  </si>
  <si>
    <t>Características dos lotes (dimensões, área edificável, localização, potencial construtivo, etc.), Frequência de coleta, Peso ou o volume médio coletado</t>
  </si>
  <si>
    <t>LEI Nº 5691, DE 20 DE DEZEMBRO DE 2010.</t>
  </si>
  <si>
    <t>Frequência/ periodicidade da coleta, Área da edificação, Quantidade de resíduos gerada</t>
  </si>
  <si>
    <t>51.04</t>
  </si>
  <si>
    <t>1. Agrotóxicos, seus resíduos e embalagens - InpEV - Instituto Nacional de Processamento de Embalagens Vazias, 4. Eletroeletrônicos e seus componentes - GREEN ELETRON - Gestora para Resíduos de Equipamentos Eletroeletrônicos Nacional, 6. Embalagens de aço (latas de tintas, etc.) - Prolata Recicladores e Associados, 8. Lâmpadas fluorescentes, de vapor de sódio e mercúrio e de luz mista - RECICLUS - Associação Brasileira para Gestão da Logística Reversa de Produtos de Iluminação;, 9. Medicamentos de uso humano - BHS Comercio e Serviços de Produtos para Saúde LTDA.;, 13. Óleo Lubrificante e Embalagens de óleos lubrificantes - Instituto Jogue Limpo;, 16. Pilhas e baterias portáteis - ABREE - Associação Brasileira de Reciclagem de Eletroeletrônicos e Eletrodomésticos, 17. Pneus inservíveis - Associação RECICLANIP, 18. Produtos saneantes domissanitários desinfestantes - ABRASSAM - Associação Brasileira das Empresas Fabricantes de Produtos Saneantes Domissanitários Desinfestantes</t>
  </si>
  <si>
    <t>1. Instituto de Promoção e Apoio à Reciclagem – InPAR;, 2. Instituto Brasileiro de Logística Reversa – ILOG;, 6. Instituto Giro (EURECICLO);</t>
  </si>
  <si>
    <t>Embalagens de aço, Embalagens de papel, Embalagens em geral, Móveis, colchões e demais resíduos volumosos</t>
  </si>
  <si>
    <t>Castro</t>
  </si>
  <si>
    <t>04907</t>
  </si>
  <si>
    <t>nao participa</t>
  </si>
  <si>
    <t>lei 3985/2023</t>
  </si>
  <si>
    <t>Veículos para a coleta de resíduos orgânicos (sobras alimentares), Unidade de Triagem de Materiais Recicláveis, Unidade de Compostagem, Unidade de Transbordo, Ampliação ou adequação de aterro sanitário, Equipamentos para a unidade de compostagem</t>
  </si>
  <si>
    <t>preenchimento de vias publicas</t>
  </si>
  <si>
    <t>nso ha</t>
  </si>
  <si>
    <t>Porta-a-porta, Pontos de entrega voluntária, Conteinerizada</t>
  </si>
  <si>
    <t>castro</t>
  </si>
  <si>
    <t>-24.70745 -49.959918</t>
  </si>
  <si>
    <t>fazenda arapongas</t>
  </si>
  <si>
    <t>Há canalização do gás, Há impermeabilização no fundo e nas laterais (geomembrana), Há coleta de chorume, Realiza a cobertura diária dos resíduos, Realiza o monitoramento de corpos hídricos no entorno</t>
  </si>
  <si>
    <t>requerimento 256578</t>
  </si>
  <si>
    <t>lei 53/2016</t>
  </si>
  <si>
    <t>Eletroeletrônicos e seus componentes, Embalagens de aço, Embalagens de papel, Embalagens em geral, Medicamentos de uso humano, Móveis, colchões e demais resíduos volumosos</t>
  </si>
  <si>
    <t>Catanduvas</t>
  </si>
  <si>
    <t>05003</t>
  </si>
  <si>
    <t>Plano Regional de Saneamento Básico Microrregião Oeste do Paraná, Resolução nº003/MRAE-3/2024 Microrregião Oeste</t>
  </si>
  <si>
    <t>LEI MUNICIPAL N° 054/2014</t>
  </si>
  <si>
    <t>Veículos para coleta de resíduos orgânicos provenientes de podas e jardinagem, Veículos para a coleta de resíduos orgânicos (sobras alimentares), Unidade de Compostagem, Ecopontos ou Pontos de Entrega Voluntária, Equipamentos para a unidade de triagem de materiais recicláveis, Equipamentos para a unidade de compostagem</t>
  </si>
  <si>
    <t>Caçamba de empresa terceirizada</t>
  </si>
  <si>
    <t>-24.98395114685561, -53.296368960538416</t>
  </si>
  <si>
    <t>Há canalização do gás, Há flare/queimador dos gases gerados, sem aproveitamento energético</t>
  </si>
  <si>
    <t>Licença de operação, nº274599-R2</t>
  </si>
  <si>
    <t>Lâmpadas fluorescentes, de vapor de sódio e mercúrio e de luz mista, Pilhas e baterias portáteis, Móveis, colchões e demais resíduos volumosos</t>
  </si>
  <si>
    <t>Centenário do Sul</t>
  </si>
  <si>
    <t>05102</t>
  </si>
  <si>
    <t>Lei nº2568 ano 2012</t>
  </si>
  <si>
    <t>Veículos para coleta indiferenciada (convencional), Veículos para coleta seletiva de materiais recicláveis, Unidade de Transbordo, Ampliação ou adequação de aterro sanitário</t>
  </si>
  <si>
    <t>-22,827527, -51,547008</t>
  </si>
  <si>
    <t>Lote 2-c-2, da colônia centenário gleba 03</t>
  </si>
  <si>
    <t>Cerro Azul</t>
  </si>
  <si>
    <t>05201</t>
  </si>
  <si>
    <t>CURITIBA/PR</t>
  </si>
  <si>
    <t>FAZENDA RIO GRANDE/PR</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</si>
  <si>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Equipamentos para a unidade de triagem de materiais recicláveis</t>
  </si>
  <si>
    <t>Realiza coleta de pequenos geradores, Realiza coleta de grandes geradores, Realiza coleta de vias públicas e descartes irregulares, Não possui ponto de entrega volutária</t>
  </si>
  <si>
    <t>BAIRRO QUARTEIRÃO DOS ORFÃOS</t>
  </si>
  <si>
    <t>NÃO HÃ</t>
  </si>
  <si>
    <t>AV. NOSSA SENHORA APARECIDA, 3182</t>
  </si>
  <si>
    <t>Consórcio</t>
  </si>
  <si>
    <t>LEI N° 17/2003</t>
  </si>
  <si>
    <t>Eletroeletrônicos e seus componentes, Embalagens de aço, Embalagens de papel, Embalagens em geral, Filtros de óleos lubrificantes, Óleo Lubrificante e Embalagens de óleos lubrificantes, Pilhas e baterias portáteis, Pneus inservíveis, Móveis, colchões e demais resíduos volumosos</t>
  </si>
  <si>
    <t>Céu Azul</t>
  </si>
  <si>
    <t>05300</t>
  </si>
  <si>
    <t>Cidersop</t>
  </si>
  <si>
    <t>não usamos aterro atraves de consórcio</t>
  </si>
  <si>
    <t>Veículos para coleta seletiva de materiais recicláveis, Unidade de Triagem de Materiais Recicláveis, Unidade de Transbordo, Equipamentos para a unidade de triagem de materiais recicláveis</t>
  </si>
  <si>
    <t>Possui Ponto de Entrega Voluntária/Ecoponto, Não possui ponto de entrega volutária</t>
  </si>
  <si>
    <t>Linha catafesta</t>
  </si>
  <si>
    <t>211562-4, 7215926-6</t>
  </si>
  <si>
    <t>município so tem aterro para RCC</t>
  </si>
  <si>
    <t>209335.0, 7218075.8</t>
  </si>
  <si>
    <t>Linha Dois Irmãos</t>
  </si>
  <si>
    <t>Há aproveitamento energético do gás gerado (geradores), Há tratamento do chorume (IN 33/2025 e Portaria IAP 259/2014), Realiza a cobertura diária dos resíduos</t>
  </si>
  <si>
    <t>o município não faz</t>
  </si>
  <si>
    <t>Licença Ambiental Simplificada</t>
  </si>
  <si>
    <t xml:space="preserve"> 25° 7'27.07"S     53°53'1.15"O</t>
  </si>
  <si>
    <t>Chopinzinho</t>
  </si>
  <si>
    <t>05409</t>
  </si>
  <si>
    <t xml:space="preserve">NÃO PARTICIPO DE NENHUM CONSÓRCIO </t>
  </si>
  <si>
    <t>LEI COMPLEMENTAR Nº 103/2019, DE 25 DE SETEMBRO DE 2019</t>
  </si>
  <si>
    <t>LEI Nº 3.098/2013</t>
  </si>
  <si>
    <t xml:space="preserve">Área particulares de entrega </t>
  </si>
  <si>
    <t xml:space="preserve">não há </t>
  </si>
  <si>
    <t xml:space="preserve">Coronel \vivida </t>
  </si>
  <si>
    <t>-26.028405°   /    -52.589664°</t>
  </si>
  <si>
    <t>BR-158, Km 495 - Alto Palmeirinha Cel. Vivida - PR 85550-000</t>
  </si>
  <si>
    <t>Há impermeabilização no fundo e nas laterais (geomembrana), Há coleta de chorume, Há tratamento do chorume (IN 33/2025 e Portaria IAP 259/2014), Há sistema de detecção de vazamento do percolado sob a impermeabilização (IN 33/2025), Realiza a cobertura diária dos resíduos</t>
  </si>
  <si>
    <t>Valor fixo por imóvel., Características dos lotes (dimensões, área edificável, localização, potencial construtivo, etc.), Consumo de água</t>
  </si>
  <si>
    <t>LEI COMPLEMENTAR Nº 88, DE 20 DE DEZEMBRO DE 2017.</t>
  </si>
  <si>
    <t>129.73</t>
  </si>
  <si>
    <t>720.64</t>
  </si>
  <si>
    <t>Agrotóxicos, seus resíduos e embalagens, Eletroeletrônicos e seus componentes</t>
  </si>
  <si>
    <t>-25.836496° /   -52.570292°</t>
  </si>
  <si>
    <t>Cianorte</t>
  </si>
  <si>
    <t>05508</t>
  </si>
  <si>
    <t>Lei nº 4932, 06 de dezembro de 2017.</t>
  </si>
  <si>
    <t>Lei nº 4448, 11 de dezembro de 2014.</t>
  </si>
  <si>
    <t>Empresa privada (terceirizada), Catadores autônomos</t>
  </si>
  <si>
    <t>Próprio município de Cianorte</t>
  </si>
  <si>
    <t>-23.618120023107444, -52.63768510168442</t>
  </si>
  <si>
    <t>Rodovia PR-082, S/N, KM 258, Lote nº 525-A e 525-B-R</t>
  </si>
  <si>
    <t>Empresa privada (terceirizada), Concessão</t>
  </si>
  <si>
    <t>Há canalização do gás, Há flare/queimador dos gases gerados, sem aproveitamento energético, Há impermeabilização no fundo e nas laterais (geomembrana), Há coleta de chorume, Há tratamento do chorume (IN 33/2025 e Portaria IAP 259/2014), Realiza a cobertura diária dos resíduos, Realiza o monitoramento de corpos hídricos no entorno</t>
  </si>
  <si>
    <t>Licença de Operação - RLO nº 181641-R2</t>
  </si>
  <si>
    <t>Código Tributário Municipal (Lei Complementar nº 302/2024)</t>
  </si>
  <si>
    <t>8. Lâmpadas fluorescentes, de vapor de sódio e mercúrio e de luz mista - RECICLUS - Associação Brasileira para Gestão da Logística Reversa de Produtos de Iluminação;, 13. Óleo Lubrificante e Embalagens de óleos lubrificantes - Instituto Jogue Limpo;, Empresas licenciadas realizam a coleta</t>
  </si>
  <si>
    <t>Eletroeletrônicos e seus componentes, Medicamentos de uso humano, Óleo Lubrificante e Embalagens de óleos lubrificantes, Pilhas e baterias portáteis, Pneus inservíveis, Móveis, colchões e demais resíduos volumosos</t>
  </si>
  <si>
    <t>-23.66336551956055, -52.58521146633571 / -23.67185306164856, -52.60607677647367</t>
  </si>
  <si>
    <t>Cidade Gaúcha</t>
  </si>
  <si>
    <t>05607</t>
  </si>
  <si>
    <t>Veículos para coleta indiferenciada (convencional), Veículos para coleta seletiva de materiais recicláveis, Veículos para coleta de resíduos orgânicos provenientes de podas e jardinagem, Unidade de Triagem de Materiais Recicláveis, Ampliação ou adequação de aterro sanitário, Equipamentos para a unidade de triagem de materiais recicláveis</t>
  </si>
  <si>
    <t>2323.97'40"S   5258.08'40"O</t>
  </si>
  <si>
    <t>Estrada Circular</t>
  </si>
  <si>
    <t>3. Eletroeletrônicos e seus componentes - ABREE - Associação Brasileira de Reciclagem de Eletroeletrônicos e Eletrodomésticos;, 13. Óleo Lubrificante e Embalagens de óleos lubrificantes - Instituto Jogue Limpo;, 17. Pneus inservíveis - Associação RECICLANIP</t>
  </si>
  <si>
    <t>7. ABIHPEC – Associação Brasileira da Indústria de Higiene Pessoal, Perfumaria e Cosméticos;, 9. Associação Brasileira de Bebidas – ABRABE;</t>
  </si>
  <si>
    <t>Clevelândia</t>
  </si>
  <si>
    <t>05706</t>
  </si>
  <si>
    <t>Em andamento</t>
  </si>
  <si>
    <t>COMISSÃO TÉCNICA - DECRETO Nº 251/2024</t>
  </si>
  <si>
    <t>Veículos para coleta seletiva de materiais recicláveis, Veículos para a coleta de resíduos orgânicos (sobras alimentares), Unidade de Triagem de Materiais Recicláveis, Ecopontos ou Pontos de Entrega Voluntária, Equipamentos para a unidade de triagem de materiais recicláveis</t>
  </si>
  <si>
    <t>Não realiza coleta ou o recebimento, Realiza coleta de vias públicas e descartes irregulares</t>
  </si>
  <si>
    <t>Aterro industrial</t>
  </si>
  <si>
    <t>CHAPECÓ/SC</t>
  </si>
  <si>
    <t>-27,164371  -52,579370</t>
  </si>
  <si>
    <t>ACESSO ANGELO BALDISSERA, CHACARA20, ÁGUA AMARELA, CHAPECÓ/SC</t>
  </si>
  <si>
    <t>Há canalização do gás, Há aproveitamento energético do gás gerado (geradores), Há impermeabilização no fundo e nas laterais (geomembrana), Há tratamento do chorume (IN 33/2025 e Portaria IAP 259/2014), Há poços de monitoramento</t>
  </si>
  <si>
    <t>5727/2022 - IMA/SC</t>
  </si>
  <si>
    <t>está em processo de instituição</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</si>
  <si>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17. Pneus inservíveis - Associação RECICLANIP</t>
  </si>
  <si>
    <t>-26.381446   -52.325547</t>
  </si>
  <si>
    <t>Colombo</t>
  </si>
  <si>
    <t>05805</t>
  </si>
  <si>
    <t>curitiba</t>
  </si>
  <si>
    <t>Fazenda rio grande</t>
  </si>
  <si>
    <t>Resíduos de serviços de saúde, Resíduos dos estabelecimentos comerciais e de prestação de serviços que geram resíduos perigosos ou resíduos que não sejam equiparados aos resíduos domiciliares</t>
  </si>
  <si>
    <t xml:space="preserve"> 7267/2021</t>
  </si>
  <si>
    <t>decreto estadual</t>
  </si>
  <si>
    <t>1472/2018</t>
  </si>
  <si>
    <t>Veículos para coleta indiferenciada (convencional), Veículos para coleta seletiva de materiais recicláveis, Unidade de Triagem de Materiais Recicláveis, Unidade de Transbordo</t>
  </si>
  <si>
    <t>não  há</t>
  </si>
  <si>
    <t>josé coradin s/n</t>
  </si>
  <si>
    <t>Incentivo à compostagem doméstica, Trituração e compostagem dos resíduos verdes (provenientes de podas e jardinagem)</t>
  </si>
  <si>
    <t>Compostagem acelerada (por exemplo, máquinas de compostagem acelerada), Outra destinação</t>
  </si>
  <si>
    <t>fazenda rio grande</t>
  </si>
  <si>
    <t>Há tratamento do chorume (IN 33/2025 e Portaria IAP 259/2014)</t>
  </si>
  <si>
    <t>3. Eletroeletrônicos e seus componentes - ABREE - Associação Brasileira de Reciclagem de Eletroeletrônicos e Eletrodomésticos;, 8. Lâmpadas fluorescentes, de vapor de sódio e mercúrio e de luz mista - RECICLUS - Associação Brasileira para Gestão da Logística Reversa de Produtos de Iluminação;</t>
  </si>
  <si>
    <t>Colorado</t>
  </si>
  <si>
    <t>05904</t>
  </si>
  <si>
    <t>Consórcio Intermunicipal de Saneamento do Paraná - CISPAR, Não participa de nenhum consórcio</t>
  </si>
  <si>
    <t>Não há consorcio</t>
  </si>
  <si>
    <t>Lei Ordinária nº 2543/2013</t>
  </si>
  <si>
    <t>Lei Ordinária 2970/2022</t>
  </si>
  <si>
    <t>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Ampliação ou adequação de aterro sanitário, Ecopontos ou Pontos de Entrega Voluntária, Equipamentos para a unidade de triagem de materiais recicláveis, Equipamentos para a unidade de compostagem</t>
  </si>
  <si>
    <t>Integrado ao PMRS</t>
  </si>
  <si>
    <t>LAS 159375</t>
  </si>
  <si>
    <t>Rod. PR 542 Km 4 - Estrada Colorado a Itaguajé</t>
  </si>
  <si>
    <t>-22.796872, -51.953538</t>
  </si>
  <si>
    <t>Londrina</t>
  </si>
  <si>
    <t>-23.397099, -51.131180</t>
  </si>
  <si>
    <t>Rodovia Celso Garcia Cid, Gleba, 12633 - Cafezal, Londrina - PR, 86170-000</t>
  </si>
  <si>
    <t xml:space="preserve">Não </t>
  </si>
  <si>
    <t>RLO 495142</t>
  </si>
  <si>
    <t>Lei 2073/2003</t>
  </si>
  <si>
    <t>-22.796977, -51.953985</t>
  </si>
  <si>
    <t>PRAD Procolo: 16.623.159-0</t>
  </si>
  <si>
    <t>Contenda</t>
  </si>
  <si>
    <t>06209</t>
  </si>
  <si>
    <t>Tratamento, Disposição final</t>
  </si>
  <si>
    <t>Resíduos dos serviços públicos de saneamento básico, Resíduos industriais, Resíduos de serviços de saúde, Resíduos de mineração</t>
  </si>
  <si>
    <t>LEI COMPLEMENTAR 237- 09 DE JULHO DE 2021</t>
  </si>
  <si>
    <t>Veículos para coleta de resíduos orgânicos provenientes de podas e jardinagem, Unidade de Compostagem, Equipamentos para a unidade de triagem de materiais recicláveis, Equipamentos para a unidade de compostagem</t>
  </si>
  <si>
    <t xml:space="preserve">FAzenda rio GRande </t>
  </si>
  <si>
    <t>-25.66262387168286, -49.339218106318086</t>
  </si>
  <si>
    <t>Empresa privada (terceirizada), Gestão pública (via consórcio)</t>
  </si>
  <si>
    <t>Há aproveitamento energético do gás gerado (geradores)</t>
  </si>
  <si>
    <t>Coprocessamento do CDR (combustível derivado de resíduo), rejeito da associação</t>
  </si>
  <si>
    <t>Verificar Estre</t>
  </si>
  <si>
    <t>lei complementar 10/20210</t>
  </si>
  <si>
    <t>Eletroeletrônicos e seus componentes, Lâmpadas fluorescentes, de vapor de sódio e mercúrio e de luz mista, Medicamentos de uso humano, Medicamentos de uso veterinário, Óleo Lubrificante e Embalagens de óleos lubrificantes, Pilhas e baterias portáteis, Pneus inservíveis, Produtos saneantes domissanitários desinfestantes, Móveis, colchões e demais resíduos volumosos</t>
  </si>
  <si>
    <t>Corbélia</t>
  </si>
  <si>
    <t>06308</t>
  </si>
  <si>
    <t>Consórcio Intermunicipal do Piquiri</t>
  </si>
  <si>
    <t>Lei Municipal nº 997/2018.</t>
  </si>
  <si>
    <t>2947.85</t>
  </si>
  <si>
    <t>0000</t>
  </si>
  <si>
    <t>PR 576 S/N</t>
  </si>
  <si>
    <t>-24.80498767008267, -53.22167755609763</t>
  </si>
  <si>
    <t>Cascaveç</t>
  </si>
  <si>
    <t>-24.983665760906018, -53.296521727318805</t>
  </si>
  <si>
    <t>BR 277, Distrito Industrial de São João, Cascavel, PR</t>
  </si>
  <si>
    <t xml:space="preserve"> 1.269/2024</t>
  </si>
  <si>
    <t>1147314.29</t>
  </si>
  <si>
    <t>542.66</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</si>
  <si>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 Pilhas - Green Eletron</t>
  </si>
  <si>
    <t>-24.804474957227384, -53.221692487144516</t>
  </si>
  <si>
    <t>Coronel Domingos Soares</t>
  </si>
  <si>
    <t>06456</t>
  </si>
  <si>
    <t>nã possui</t>
  </si>
  <si>
    <t>Plano regional de saneamento básico</t>
  </si>
  <si>
    <t xml:space="preserve">está em desenvolvimento não consta </t>
  </si>
  <si>
    <t>Veículos para coleta seletiva de materiais recicláveis, Veículos para a coleta de resíduos orgânicos (sobras alimentares), Unidade de Compostagem, Ecopontos ou Pontos de Entrega Voluntária</t>
  </si>
  <si>
    <t>LAS 268039</t>
  </si>
  <si>
    <t>Rua Projetada 18 nº. 1759</t>
  </si>
  <si>
    <t xml:space="preserve"> 26°14'9.72"S  52° 1'52.13"O</t>
  </si>
  <si>
    <t>-27.165944° -52.580971°</t>
  </si>
  <si>
    <t>ACESSO ÂNGELO BALDISSERA - CH 20 - KM 05, S/N, LINHA ÁGUA AMARELA - CHAPECÓ - SC</t>
  </si>
  <si>
    <t>Há impermeabilização no fundo e nas laterais (geomembrana), Realiza a cobertura diária dos resíduos, Realiza o monitoramento de corpos hídricos no entorno</t>
  </si>
  <si>
    <t>LO N° 4885/2018</t>
  </si>
  <si>
    <t>910/2019</t>
  </si>
  <si>
    <t>1. Agrotóxicos, seus resíduos e embalagens - InpEV - Instituto Nacional de Processamento de Embalagens Vazias, 2. Baterias de chumbo ácido - IBER - Instituto Brasileiro de Energia Reciclável,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17. Pneus inservíveis - Associação RECICLANIP</t>
  </si>
  <si>
    <t>-26.242728° -52.009618°</t>
  </si>
  <si>
    <t>Coronel Vivida</t>
  </si>
  <si>
    <t>06506</t>
  </si>
  <si>
    <t>posto de lavagem e oficina mecanica</t>
  </si>
  <si>
    <t>Lei n° 2792/2017, de 21 de Setembro de 2017.</t>
  </si>
  <si>
    <t>Lei Estadual Complementar nº 237/2021</t>
  </si>
  <si>
    <t>LLei N° 2.960/2019, de 20 de dezembro de 2019.</t>
  </si>
  <si>
    <t>Veículos para coleta seletiva de materiais recicláveis, Veículos para coleta de resíduos orgânicos provenientes de podas e jardinagem, Unidade de Triagem de Materiais Recicláveis, Unidade de Compostagem, Ecopontos ou Pontos de Entrega Voluntária</t>
  </si>
  <si>
    <t>as empresa destinam para outras cidades</t>
  </si>
  <si>
    <t>LO</t>
  </si>
  <si>
    <t xml:space="preserve"> 26° 1'42.53"S           52°35'25.25"O</t>
  </si>
  <si>
    <t>BR 158, km 406</t>
  </si>
  <si>
    <t>Há canalização do gás, Há impermeabilização no fundo e nas laterais (geomembrana), Há coleta de chorume, Há tratamento do chorume (IN 33/2025 e Portaria IAP 259/2014), Há poços de monitoramento, Realiza o monitoramento de corpos hídricos no entorno</t>
  </si>
  <si>
    <t>LO 34907</t>
  </si>
  <si>
    <t>Lei 028/2009 C. Tributario</t>
  </si>
  <si>
    <t>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t>
  </si>
  <si>
    <t>Agrotóxicos, seus resíduos e embalagens, Filtros de óleos lubrificantes, Lâmpadas fluorescentes, de vapor de sódio e mercúrio e de luz mista, Medicamentos de uso humano, Pneus inservíveis</t>
  </si>
  <si>
    <t>03008</t>
  </si>
  <si>
    <t>Boa Esperança</t>
  </si>
  <si>
    <t>Cruz Machado</t>
  </si>
  <si>
    <t>06803</t>
  </si>
  <si>
    <t>02/2.024</t>
  </si>
  <si>
    <t>Veículos para coleta seletiva de materiais recicláveis, Unidade de Triagem de Materiais Recicláveis, Unidade de Compostagem, Ecopontos ou Pontos de Entrega Voluntária, Equipamentos para a unidade de triagem de materiais recicláveis</t>
  </si>
  <si>
    <t xml:space="preserve">Não há destinação dos resíduos </t>
  </si>
  <si>
    <t xml:space="preserve">União da Vitória - Paraná </t>
  </si>
  <si>
    <t xml:space="preserve"> -26.274222° / -51.121974°</t>
  </si>
  <si>
    <t>Linha Antônio Cândido, s/n, Rural, União da Vitória (PR)</t>
  </si>
  <si>
    <t>Há canalização do gás, Há impermeabilização no fundo e nas laterais (geomembrana), Há coleta de chorume, Há tratamento do chorume (IN 33/2025 e Portaria IAP 259/2014), Há poços de monitoramento, Realiza a cobertura diária dos resíduos</t>
  </si>
  <si>
    <t>LAS 160.573</t>
  </si>
  <si>
    <t xml:space="preserve">NENHUM </t>
  </si>
  <si>
    <t xml:space="preserve">NÃO HÁ </t>
  </si>
  <si>
    <t>13106</t>
  </si>
  <si>
    <t>Kaloré</t>
  </si>
  <si>
    <t>Cruzeiro do Iguaçu</t>
  </si>
  <si>
    <t>06571</t>
  </si>
  <si>
    <t>nao tem</t>
  </si>
  <si>
    <t>não possue</t>
  </si>
  <si>
    <t>Ecopontos ou Pontos de Entrega Voluntária</t>
  </si>
  <si>
    <t>741.05</t>
  </si>
  <si>
    <t>Dois Vizinhos</t>
  </si>
  <si>
    <t>-25.79588924584021, -53.02783388029136</t>
  </si>
  <si>
    <t>aterro municipal dois vizinhos</t>
  </si>
  <si>
    <t>Há canalização do gás, Há impermeabilização no fundo e nas laterais (geomembrana), Há coleta de chorume, Há poços de monitoramento, Realiza a cobertura diária dos resíduos</t>
  </si>
  <si>
    <t>5017/2020</t>
  </si>
  <si>
    <t>não possue saneamento básico</t>
  </si>
  <si>
    <t xml:space="preserve">destinado pema </t>
  </si>
  <si>
    <t>Agrotóxicos, seus resíduos e embalagens, Baterias de chumbo ácido, Eletroeletrônicos e seus componentes, Filtros de óleos lubrificantes, Lâmpadas fluorescentes, de vapor de sódio e mercúrio e de luz mista, Medicamentos de uso humano, Medicamentos de uso veterinário, Óleo Lubrificante e Embalagens de óleos lubrificantes, Pilhas e baterias portáteis, Pneus inservíveis, Produtos saneantes domissanitários desinfestantes</t>
  </si>
  <si>
    <t>Cruzeiro do Oeste</t>
  </si>
  <si>
    <t>06605</t>
  </si>
  <si>
    <t>Não participamos de consórcio. A gestão é feita exclusivamente pelo município de Cruzeiro do Oeste.</t>
  </si>
  <si>
    <t xml:space="preserve">Não estamos em consórcio. </t>
  </si>
  <si>
    <t xml:space="preserve">Não Possui. </t>
  </si>
  <si>
    <t>ATA – 7º Assembleia Geral Extraordinária   Microrregião Oeste (MRAE-3)</t>
  </si>
  <si>
    <t>Veículos para coleta indiferenciada (convencional), Veículos para coleta seletiva de materiais recicláveis, Veículos para coleta de resíduos orgânicos provenientes de podas e jardinagem, Unidade de Triagem de Materiais Recicláveis, Unidade de Compostagem, Unidade de Transbordo, Ampliação ou adequação de aterro sanitário, Ecopontos ou Pontos de Entrega Voluntária, Equipamentos para a unidade de triagem de materiais recicláveis</t>
  </si>
  <si>
    <t>O município possui Aterro Sanitário</t>
  </si>
  <si>
    <t>-23.742243  -53.021443</t>
  </si>
  <si>
    <t>PR-477</t>
  </si>
  <si>
    <t xml:space="preserve">Não realiza a triagem. </t>
  </si>
  <si>
    <t xml:space="preserve">Licença de Operação. </t>
  </si>
  <si>
    <t>Não possuímos</t>
  </si>
  <si>
    <t>O município ainda não oferece esse tipo de serviço.</t>
  </si>
  <si>
    <t>-23.792076480592765, -53.04770287995366 
-23.79692382689716, -53.04945996070405
-23.78056144184305, -53.09678228123794</t>
  </si>
  <si>
    <t>Cruzeiro do Sul</t>
  </si>
  <si>
    <t>06704</t>
  </si>
  <si>
    <t>3682021 - 02/07/2021</t>
  </si>
  <si>
    <t xml:space="preserve">Chácara São José, S/N, Área Rural </t>
  </si>
  <si>
    <t>-22.994871226344713, -52.1749429153434</t>
  </si>
  <si>
    <t>-23.47386595605131, -51.9562123907979</t>
  </si>
  <si>
    <t>RLO - 256.451</t>
  </si>
  <si>
    <t>-22.946286277962916, -52.1449202056205</t>
  </si>
  <si>
    <t>Cruzmaltina</t>
  </si>
  <si>
    <t>06852</t>
  </si>
  <si>
    <t>não pussui</t>
  </si>
  <si>
    <t>Resíduos dos serviços públicos de saneamento básico, Resíduos industriais, Resíduos de serviços de saúde, Resíduos da construção civil, Resíduos de serviços de transportes</t>
  </si>
  <si>
    <t>Veículos para coleta indiferenciada (convencional), Veículos para coleta seletiva de materiais recicláveis, Veículos para coleta de resíduos orgânicos provenientes de podas e jardinagem, Veículos para a coleta de resíduos orgânicos (sobras alimentares), Unidade de Compostagem, Ecopontos ou Pontos de Entrega Voluntária, Equipamentos para a unidade de compostagem</t>
  </si>
  <si>
    <t>es</t>
  </si>
  <si>
    <t>estrada do humeniuk</t>
  </si>
  <si>
    <t>-23,9836167,-51,4199021</t>
  </si>
  <si>
    <t>apucarana</t>
  </si>
  <si>
    <t>-23,5955554,-51,4628467</t>
  </si>
  <si>
    <t>155,450,99</t>
  </si>
  <si>
    <t>123,122,88</t>
  </si>
  <si>
    <t>1. Instituto de Promoção e Apoio à Reciclagem – InPAR;, 2. Instituto Brasileiro de Logística Reversa – ILOG;, 3. Polen Consultoria e Intermediação de Negócios em Sustentabilidade Ltda.;, 4. Instituto Rever;, 5. Instituto Recicleiros;, 6. Instituto Giro (EURECICLO);, 7. ABIHPEC – Associação Brasileira da Indústria de Higiene Pessoal, Perfumaria e Cosméticos;, 8. Associação Nacional dos Catadores e Catadoras de Materiais Recicláveis – ANCAT;, 9. Associação Brasileira de Bebidas – ABRABE;, 10. Ambipar Environment Residential Collection;, 11. Pegada Neutra Soluções Ambientais Ltda.,, 12. Pragma Soluções Serviços e Projetos Ltda;, 13. Instituto Loop, 14. SINPACEL - Sindicato das Indústrias de Papel, Celulose e Pasta de Madeira para Papel Papelão e de Artefatos de Papel e Papelão)</t>
  </si>
  <si>
    <t xml:space="preserve">Eletroeletrônicos e seus componentes, Embalagens de aço, Embalagens de papel, Medicamentos de uso humano, Medicamentos de uso veterinário, Perfurocortantes do GRUPO E, incluindo seringas e canetas injetoras, Pilhas e baterias portáteis, Móveis, colchões e demais resíduos volumosos, </t>
  </si>
  <si>
    <t xml:space="preserve">nao ha </t>
  </si>
  <si>
    <t>06902</t>
  </si>
  <si>
    <t>Decreto Municipal 1753/2021</t>
  </si>
  <si>
    <t>Resíduos de serviços de saúde, Resíduos da construção civil, grandes geradores</t>
  </si>
  <si>
    <t>Decreto 1994/2017</t>
  </si>
  <si>
    <t>Decreto 1992/2023</t>
  </si>
  <si>
    <t>Veículos para coleta indiferenciada (convencional), Veículos para coleta seletiva de materiais recicláveis, Veículos para coleta de resíduos orgânicos provenientes de podas e jardinagem, Unidade de Triagem de Materiais Recicláveis, Unidade de Compostagem, Ecopontos ou Pontos de Entrega Voluntária, Equipamentos para a unidade de triagem de materiais recicláveis, ações de educação ambiental</t>
  </si>
  <si>
    <t>Decreto 906/2022</t>
  </si>
  <si>
    <t>Incentivo à compostagem doméstica, Compostagem comunitária em escolas, associações de moradores, hortas comunitárias, Pátio de compostagem</t>
  </si>
  <si>
    <t>Vermicompostagem, Compostagem em leiras</t>
  </si>
  <si>
    <t>não sei</t>
  </si>
  <si>
    <t>25°30'49"S 49°21'02"W</t>
  </si>
  <si>
    <t>Rua dos Palmenses, CIC, Curitiba</t>
  </si>
  <si>
    <t>Valor fixo por imóvel., Características dos lotes (dimensões, área edificável, localização, potencial construtivo, etc.)</t>
  </si>
  <si>
    <t>Lei Complementar nº 111/2018</t>
  </si>
  <si>
    <t>Baterias de chumbo ácido, Eletroeletrônicos e seus componentes, Embalagens de aço, Embalagens de papel, Embalagens em geral, Filtros de óleos lubrificantes, Lâmpadas fluorescentes, de vapor de sódio e mercúrio e de luz mista, Medicamentos de uso humano, Medicamentos de uso veterinário, Óleo Lubrificante e Embalagens de óleos lubrificantes, Perfurocortantes do GRUPO E, incluindo seringas e canetas injetoras, Pilhas e baterias portáteis, Móveis, colchões e demais resíduos volumosos</t>
  </si>
  <si>
    <t>25°30'26"S 49°20'26"W;  25°37'7.05"S  49°20'17.05"O;  25°21'14.70"S  49°20'20.94"O</t>
  </si>
  <si>
    <t>N/A; PROTOCOLO 16564159-4, N/A</t>
  </si>
  <si>
    <t>Diamante D'Oeste</t>
  </si>
  <si>
    <t>07157</t>
  </si>
  <si>
    <t>Consórcio Intermunicipal para o Desenvolvimento Econômico, social, educacional e cultural sustentável da Região Oeste do Estado do Paraná - Cidersop</t>
  </si>
  <si>
    <t xml:space="preserve">Vera Cruz do Oeste </t>
  </si>
  <si>
    <t>125/2017</t>
  </si>
  <si>
    <t>las 344902r2</t>
  </si>
  <si>
    <t xml:space="preserve">lote rural 36 b 1 da gleba 02 parte da colonia rio quarto, 0, rural </t>
  </si>
  <si>
    <t xml:space="preserve">190219.8 - 7236435.4 </t>
  </si>
  <si>
    <t xml:space="preserve">bota fora municipal </t>
  </si>
  <si>
    <t xml:space="preserve">lote rural 36 B 1 da gleba 02 parte da colonia rio quarto, 0 </t>
  </si>
  <si>
    <t>041/2009</t>
  </si>
  <si>
    <t>056</t>
  </si>
  <si>
    <t>Eletroeletrônicos e seus componentes, Lâmpadas fluorescentes, de vapor de sódio e mercúrio e de luz mista, Pilhas e baterias portáteis, Pneus inservíveis, Móveis, colchões e demais resíduos volumosos</t>
  </si>
  <si>
    <t>03354</t>
  </si>
  <si>
    <t>Braganey</t>
  </si>
  <si>
    <t>07207</t>
  </si>
  <si>
    <t>Resíduos dos serviços públicos de saneamento básico, Resíduos industriais, Resíduos de serviços de saúde, Resíduos dos estabelecimentos comerciais e de prestação de serviços que geram resíduos perigosos ou resíduos que não sejam equiparados aos resíduos domiciliares, Resíduos de serviços de transportes</t>
  </si>
  <si>
    <t xml:space="preserve">Pmsb decreto </t>
  </si>
  <si>
    <t>16 409 /2020</t>
  </si>
  <si>
    <t>Pmgirs decreto 13118/2016</t>
  </si>
  <si>
    <t>Veículos para coleta seletiva de materiais recicláveis, Veículos para coleta de resíduos orgânicos provenientes de podas e jardinagem, Veículos para a coleta de resíduos orgânicos (sobras alimentares), Ecopontos ou Pontos de Entrega Voluntária, Equipamentos para a unidade de triagem de materiais recicláveis</t>
  </si>
  <si>
    <t>Cooperativa de Catadores de Materiais reciclados jose pedro alves</t>
  </si>
  <si>
    <t>Não realiza coleta ou o recebimento, Realiza coleta de vias públicas e descartes irregulares, Não possui ponto de entrega volutária</t>
  </si>
  <si>
    <t>Aterro de lotes e recuperação de estradas</t>
  </si>
  <si>
    <t>DLAE 182373 VALIDADE 27/05/2030</t>
  </si>
  <si>
    <t xml:space="preserve">Avenida das Torres , 1650 bairro esperança </t>
  </si>
  <si>
    <t>-25.7537 -53.0732</t>
  </si>
  <si>
    <t>Poder público, Associações e cooperativas de catadores de materiais recicláveis, Cooperativa de Catadores de materiais reciclados José Pedro Alves</t>
  </si>
  <si>
    <t>-25.795873824083554 -53.0278319348026</t>
  </si>
  <si>
    <t>Estrada Rural S/N, Linha São Roque. DV-PR</t>
  </si>
  <si>
    <t>Empresa pema proprietaria do aterro</t>
  </si>
  <si>
    <t>Triagem manual, Cooperativa de Catadores de materiais Reciclados José Pedro Alves</t>
  </si>
  <si>
    <t>Cooperativa/Associação, Próprio Município</t>
  </si>
  <si>
    <t xml:space="preserve">LO 249506-R2 </t>
  </si>
  <si>
    <t>1052/202 art 218</t>
  </si>
  <si>
    <t>Conselho Municipal de Meio Ambiente e ou Saneamento Ambiental, Outro Conselho Municipal, COMUSA- CONSELHO MUNICIPAL DE SANEAMENTO</t>
  </si>
  <si>
    <t>1. Agrotóxicos, seus resíduos e embalagens - InpEV - Instituto Nacional de Processamento de Embalagens Vazias, 3. Eletroeletrônicos e seus componentes - ABREE - Associação Brasileira de Reciclagem de Eletroeletrônicos e Eletrodomésticos;, 4. Eletroeletrônicos e seus componentes - GREEN ELETRON - Gestora para Resíduos de Equipamentos Eletroeletrônicos Nacional,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13. Óleo Lubrificante e Embalagens de óleos lubrificantes - Instituto Jogue Limpo;, 14. Óleo Lubrificante e Embalagens de óleos lubrificantes - Teclub Indústria e Comércio de Lubrificantes Ltda.,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 16. Baterias Chumbo-Ácido - Associação Brasileira de Energia Sustentável – ABES</t>
  </si>
  <si>
    <t>Móveis, colchões e demais resíduos volumosos, Moveis inserviveis quando na rua</t>
  </si>
  <si>
    <t>-25.764271 -53.091985</t>
  </si>
  <si>
    <t>Douradina</t>
  </si>
  <si>
    <t>07256</t>
  </si>
  <si>
    <t>nh</t>
  </si>
  <si>
    <t>1259/2012</t>
  </si>
  <si>
    <t>2106/2017</t>
  </si>
  <si>
    <t>Veículos para coleta indiferenciada (convencional), Veículos para coleta de resíduos orgânicos provenientes de podas e jardinagem, Veículos para a coleta de resíduos orgânicos (sobras alimentares), Unidade de Compostagem, Equipamentos para a unidade de triagem de materiais recicláveis</t>
  </si>
  <si>
    <t>LAS 298912R1</t>
  </si>
  <si>
    <t xml:space="preserve">ESTRADA SANTA ISABEL KM 4 </t>
  </si>
  <si>
    <t>-23.370496 -53.259141</t>
  </si>
  <si>
    <t>Compostagem comunitária em escolas, associações de moradores, hortas comunitárias</t>
  </si>
  <si>
    <t>-23.362184 -53259249</t>
  </si>
  <si>
    <t>ESTRADA SANTA ISABEL KM 4</t>
  </si>
  <si>
    <t>Há impermeabilização no fundo e nas laterais (geomembrana), Há coleta de chorume, Há poços de monitoramento, Realiza o monitoramento de corpos hídricos no entorno</t>
  </si>
  <si>
    <t>LO298230R3</t>
  </si>
  <si>
    <t>2193/2018</t>
  </si>
  <si>
    <t>Eletroeletrônicos e seus componentes, Embalagens em geral, Lâmpadas fluorescentes, de vapor de sódio e mercúrio e de luz mista, Pilhas e baterias portáteis, Pneus inservíveis, Móveis, colchões e demais resíduos volumosos</t>
  </si>
  <si>
    <t>N/S</t>
  </si>
  <si>
    <t>Doutor Camargo</t>
  </si>
  <si>
    <t>07306</t>
  </si>
  <si>
    <t>Resíduos industriais, Resíduos de serviços de saúde, Resíduos dos estabelecimentos comerciais e de prestação de serviços que geram resíduos perigosos ou resíduos que não sejam equiparados aos resíduos domiciliares, Resíduos de mineração</t>
  </si>
  <si>
    <t>LEI MUNICIPAL 1.343/2013</t>
  </si>
  <si>
    <t>LEI MUNICIPAL Nº 1.448/2016</t>
  </si>
  <si>
    <t>Veículos para coleta indiferenciada (convencional), Veículos para coleta seletiva de materiais recicláveis, Veículos para coleta de resíduos orgânicos provenientes de podas e jardinagem, Unidade de Transbordo, Ecopontos ou Pontos de Entrega Voluntária, Equipamentos para a unidade de compostagem</t>
  </si>
  <si>
    <t>ÁREA DE DESCARTE ESPECÍFICA</t>
  </si>
  <si>
    <t>APUCARANA - PR</t>
  </si>
  <si>
    <t>(-23.595626, -51.461640)</t>
  </si>
  <si>
    <t>Estr. Nova Ucrânia, 1500 - Núcleo Hab. Adriano Correia</t>
  </si>
  <si>
    <t>Há canalização do gás, Há impermeabilização no fundo e nas laterais (geomembrana), Realiza a cobertura diária dos resíduos, Realiza o monitoramento de corpos hídricos no entorno</t>
  </si>
  <si>
    <t>839/2003</t>
  </si>
  <si>
    <t xml:space="preserve"> (-23.32227 -52.13778)</t>
  </si>
  <si>
    <t>Engenheiro Beltrão</t>
  </si>
  <si>
    <t>07504</t>
  </si>
  <si>
    <t>1824/2013</t>
  </si>
  <si>
    <t>Veículos para coleta indiferenciada (convencional), Veículos para coleta seletiva de materiais recicláveis, Unidade de Triagem de Materiais Recicláveis, Ampliação ou adequação de aterro sanitário</t>
  </si>
  <si>
    <t>Proprietário do imóvel</t>
  </si>
  <si>
    <t>Estradas municipais</t>
  </si>
  <si>
    <t>Vermicompostagem</t>
  </si>
  <si>
    <t>Município possui aterro sanitário controlado</t>
  </si>
  <si>
    <t>-3756848  -73709110</t>
  </si>
  <si>
    <t>Rodovia PR 317 ha 5.5 quilometros do município</t>
  </si>
  <si>
    <t>Pela metragem da testada do imóvel</t>
  </si>
  <si>
    <t>1363/2005</t>
  </si>
  <si>
    <t>Pilhas e baterias portáteis, Pneus inservíveis</t>
  </si>
  <si>
    <t>Entre Rios do Oeste</t>
  </si>
  <si>
    <t>07538</t>
  </si>
  <si>
    <t>Palotina - Paraná</t>
  </si>
  <si>
    <t>Em fase de estruturação</t>
  </si>
  <si>
    <t>Palotina Pr</t>
  </si>
  <si>
    <t>Lei 2300/2016</t>
  </si>
  <si>
    <t>Unidade de Transbordo, Ecopontos ou Pontos de Entrega Voluntária, Equipamentos para a unidade de triagem de materiais recicláveis</t>
  </si>
  <si>
    <t xml:space="preserve">Não tem </t>
  </si>
  <si>
    <t>utilizado para base de estrada</t>
  </si>
  <si>
    <t>Cascavel - Paraná</t>
  </si>
  <si>
    <t>-24.941105, -53.436313</t>
  </si>
  <si>
    <t>Rodovia BR 277, S/Nº , Área Rural - Cascavel PR.</t>
  </si>
  <si>
    <t>Não faz triagem manual</t>
  </si>
  <si>
    <t>LICENÇA DE OPERAÇÃO No274599 - 19/07/27</t>
  </si>
  <si>
    <t>Lei Complementar Municipal nº 045/14, Código Tributário Município</t>
  </si>
  <si>
    <t>Esperança Nova</t>
  </si>
  <si>
    <t>07520</t>
  </si>
  <si>
    <t>são jorge do parocinio</t>
  </si>
  <si>
    <t>são jorge do patrocinio</t>
  </si>
  <si>
    <t>Arborização urbana</t>
  </si>
  <si>
    <t>-23.741347   -53.861325</t>
  </si>
  <si>
    <t>rodovia PR 587 s/n</t>
  </si>
  <si>
    <t>Há impermeabilização no fundo e nas laterais (geomembrana), Há coleta de chorume, Há poços de monitoramento, Realiza a cobertura diária dos resíduos</t>
  </si>
  <si>
    <t>-23.29374   -53.816666</t>
  </si>
  <si>
    <t>Espigão Alto do Iguaçu</t>
  </si>
  <si>
    <t>07546</t>
  </si>
  <si>
    <t>LEI 718/2017</t>
  </si>
  <si>
    <t>DECRETO 083/2023</t>
  </si>
  <si>
    <t>Veículos para coleta de resíduos orgânicos provenientes de podas e jardinagem, Unidade de Transbordo, Ecopontos ou Pontos de Entrega Voluntária, PICADOR DE GALHOS E RESTOS DE PODAS.</t>
  </si>
  <si>
    <t>NÃO HÁ DESTINAÇÃO</t>
  </si>
  <si>
    <t>Não é realizada por associações e cooperativas, Não há documento de formalização da parceria</t>
  </si>
  <si>
    <t>DOIS VIZINHOS E LARANJEIRAS DO SUL</t>
  </si>
  <si>
    <t>-25.796091°    -53.027923°</t>
  </si>
  <si>
    <t>PR493 - DOIS VIZINHOS</t>
  </si>
  <si>
    <t>LICENÇCA DE OPERAÇÃO</t>
  </si>
  <si>
    <t>834/2021</t>
  </si>
  <si>
    <t>Eletroeletrônicos e seus componentes, Medicamentos de uso humano, Perfurocortantes do GRUPO E, incluindo seringas e canetas injetoras, Móveis, colchões e demais resíduos volumosos</t>
  </si>
  <si>
    <t>-25.449030°   -52.802636°</t>
  </si>
  <si>
    <t>LICENÇA DE OPERAÇÃO 16101</t>
  </si>
  <si>
    <t>Farol</t>
  </si>
  <si>
    <t>07553</t>
  </si>
  <si>
    <t>LEI Nº 777/2016</t>
  </si>
  <si>
    <t>700/2013</t>
  </si>
  <si>
    <t>777/2016</t>
  </si>
  <si>
    <t>LAS Nº 329878-R2</t>
  </si>
  <si>
    <t>ÁREA RURAL</t>
  </si>
  <si>
    <t>-24.098021 -52.611417</t>
  </si>
  <si>
    <t>Jardins Públicos, Outra finalidade</t>
  </si>
  <si>
    <t>MARINGÁ</t>
  </si>
  <si>
    <t>-23.399484 -51.959027</t>
  </si>
  <si>
    <t>RUA BORBA GATO, S/N</t>
  </si>
  <si>
    <t>233421-R1</t>
  </si>
  <si>
    <t>Faxinal</t>
  </si>
  <si>
    <t>07603</t>
  </si>
  <si>
    <t>NÃO POSSUÍ</t>
  </si>
  <si>
    <t>1343/2022</t>
  </si>
  <si>
    <t>2042/2017</t>
  </si>
  <si>
    <t>Veículos para coleta indiferenciada (convencional), Veículos para coleta seletiva de materiais recicláveis, Veículos para coleta de resíduos orgânicos provenientes de podas e jardinagem, Veículos para a coleta de resíduos orgânicos (sobras alimentares), Unidade de Compostagem, Unidade de Transbordo, Ampliação ou adequação de aterro sanitário, Ecopontos ou Pontos de Entrega Voluntária, Equipamentos para a unidade de triagem de materiais recicláveis, Equipamentos para a unidade de compostagem</t>
  </si>
  <si>
    <t>-23.982473 -51.275262</t>
  </si>
  <si>
    <t>ESTRADA BUFADEIRA</t>
  </si>
  <si>
    <t>Aterro sanitário, Aterro controlado, Lixão</t>
  </si>
  <si>
    <t>16. Pilhas e baterias portáteis - ABREE - Associação Brasileira de Reciclagem de Eletroeletrônicos e Eletrodomésticos</t>
  </si>
  <si>
    <t>07652</t>
  </si>
  <si>
    <t>Dec. Mun. 1664 de 16 de janeiro de 2007.</t>
  </si>
  <si>
    <t>Resíduos de serviços de saúde, Resíduos da construção civil, Resíduos agrossilvopastoris</t>
  </si>
  <si>
    <t>Lei Mun. 1.000 de 27 de Dezembro de 2013</t>
  </si>
  <si>
    <t>Dec. Mun. 1664/2007 de 16 de janeiro de 2007</t>
  </si>
  <si>
    <t>Veículos para coleta seletiva de materiais recicláveis, Veículos para coleta de resíduos orgânicos provenientes de podas e jardinagem, Unidade de Compostagem, Ecopontos ou Pontos de Entrega Voluntária, Equipamentos para a unidade de triagem de materiais recicláveis, Equipamentos para a unidade de compostagem</t>
  </si>
  <si>
    <t>-25.66236;-49.33880</t>
  </si>
  <si>
    <t>Av. Nsa Sra Aparecida, 3188, Santa Terezinha, CEP: 83.829-308</t>
  </si>
  <si>
    <t>Renovação LO 296082 R1, Protocolo 23341867-6</t>
  </si>
  <si>
    <t>Lei Complementar 135, de 3 de dezembro de 2016.</t>
  </si>
  <si>
    <t>1. Agrotóxicos, seus resíduos e embalagens - InpEV - Instituto Nacional de Processamento de Embalagens Vazias,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9. Medicamentos de uso humano - BHS Comercio e Serviços de Produtos para Saúde LTDA.;, 11. Medicamentos de uso humano - Sindusfarma - Sindicato da Indústria de Produtos Farmacêuticos, 12. Medicamentos de uso veterinário - BHS Comércio e Serviços de Produtos para Saúde LTDA, 13. Óleo Lubrificante e Embalagens de óleos lubrificantes - Instituto Jogue Limpo;,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t>
  </si>
  <si>
    <t>07108</t>
  </si>
  <si>
    <t>Diamante do Norte</t>
  </si>
  <si>
    <t>Fênix</t>
  </si>
  <si>
    <t>07702</t>
  </si>
  <si>
    <t>nao há consorcio</t>
  </si>
  <si>
    <t>LEI Nº12 2013</t>
  </si>
  <si>
    <t>Veículos para coleta indiferenciada (convencional), Veículos para coleta seletiva de materiais recicláveis, Ampliação ou adequação de aterro sanitário</t>
  </si>
  <si>
    <t>ESTRADAS</t>
  </si>
  <si>
    <t>Porta-a-porta, NÃO HÁ</t>
  </si>
  <si>
    <t>08</t>
  </si>
  <si>
    <t>N A</t>
  </si>
  <si>
    <t>23º53.971' S   51º59.292' O</t>
  </si>
  <si>
    <t>ESTRADA ROMANIA</t>
  </si>
  <si>
    <t>DECRETO Nº34/2025</t>
  </si>
  <si>
    <t>Figueira</t>
  </si>
  <si>
    <t>07751</t>
  </si>
  <si>
    <t>Consórcio Intermunicipal para Aterro Sanitário - CIAS</t>
  </si>
  <si>
    <t>Curiúva</t>
  </si>
  <si>
    <t>não possuí</t>
  </si>
  <si>
    <t xml:space="preserve">Lixão, </t>
  </si>
  <si>
    <t>zona rural no municipio de curiuva</t>
  </si>
  <si>
    <t>Compostagem</t>
  </si>
  <si>
    <t>lei nº 580/2006</t>
  </si>
  <si>
    <t>Flor da Serra do Sul</t>
  </si>
  <si>
    <t>07850</t>
  </si>
  <si>
    <t>REAPROVEITAMENTO EM OUTRAS OBRAS</t>
  </si>
  <si>
    <t>SEM CONHECIMENTO</t>
  </si>
  <si>
    <t>901/2024</t>
  </si>
  <si>
    <t>SEM RESPOSTA</t>
  </si>
  <si>
    <t>Floraí</t>
  </si>
  <si>
    <t>07801</t>
  </si>
  <si>
    <t>Paranavaí/Pr</t>
  </si>
  <si>
    <t>APOIO TÉCNICO</t>
  </si>
  <si>
    <t>PARANAVAÍ/PR</t>
  </si>
  <si>
    <t>LEI 1441/2017</t>
  </si>
  <si>
    <t>NÃO HA</t>
  </si>
  <si>
    <t>MARINGA</t>
  </si>
  <si>
    <t>-23.47869,-5195605</t>
  </si>
  <si>
    <t>estrada são josé</t>
  </si>
  <si>
    <t>Há canalização do gás, Há coleta de chorume, Há tratamento do chorume (IN 33/2025 e Portaria IAP 259/2014), Há sistema de detecção de vazamento do percolado sob a impermeabilização (IN 33/2025), Realiza a cobertura diária dos resíduos</t>
  </si>
  <si>
    <t>NÃO</t>
  </si>
  <si>
    <t xml:space="preserve">LO - Licença Operacional  </t>
  </si>
  <si>
    <t>1676/2024</t>
  </si>
  <si>
    <t>67,142,19</t>
  </si>
  <si>
    <t>271,530,48</t>
  </si>
  <si>
    <t>134,790,004   235,273</t>
  </si>
  <si>
    <t>1. Agrotóxicos, seus resíduos e embalagens - InpEV - Instituto Nacional de Processamento de Embalagens Vazias, 2. Baterias de chumbo ácido - IBER - Instituto Brasileiro de Energia Reciclável,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12. Medicamentos de uso veterinário - BHS Comércio e Serviços de Produtos para Saúde LTDA, 13. Óleo Lubrificante e Embalagens de óleos lubrificantes - Instituto Jogue Limpo;, 14. Óleo Lubrificante e Embalagens de óleos lubrificantes - Teclub Indústria e Comércio de Lubrificantes Ltda.,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 18. Produtos saneantes domissanitários desinfestantes - ABRASSAM - Associação Brasileira das Empresas Fabricantes de Produtos Saneantes Domissanitários Desinfestantes, 16. Baterias Chumbo-Ácido - Associação Brasileira de Energia Sustentável – ABES</t>
  </si>
  <si>
    <t>1. Instituto de Promoção e Apoio à Reciclagem – InPAR;, 2. Instituto Brasileiro de Logística Reversa – ILOG;, 7. ABIHPEC – Associação Brasileira da Indústria de Higiene Pessoal, Perfumaria e Cosméticos;</t>
  </si>
  <si>
    <t>Eletroeletrônicos e seus componentes, Embalagens de aço, Embalagens de papel, Embalagens em geral, Lâmpadas fluorescentes, de vapor de sódio e mercúrio e de luz mista, Móveis, colchões e demais resíduos volumosos</t>
  </si>
  <si>
    <t>não HA</t>
  </si>
  <si>
    <t>NÃO hA</t>
  </si>
  <si>
    <t>Formosa do Oeste</t>
  </si>
  <si>
    <t>08205</t>
  </si>
  <si>
    <t>não participamos de consórcio</t>
  </si>
  <si>
    <t>LEI Nº 721, DE 05 DE DEZEMBRO DE 2012.</t>
  </si>
  <si>
    <t>LEI N'. 759 DE 24 DE SETEMBRO DE 2013</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</si>
  <si>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Ecopontos ou Pontos de Entrega Voluntária, Equipamentos para a unidade de triagem de materiais recicláveis</t>
  </si>
  <si>
    <t>Las n° 298502 porem estamos em fase de licitação, ainda não esta em operação</t>
  </si>
  <si>
    <t>PR – 317 km 01- Saída para Jesuitas, S/N. Quadra Viveiro de Mudas – Formosa do Oeste - Paraná</t>
  </si>
  <si>
    <t>24°18m20,74sS - 53°19m27,72SO</t>
  </si>
  <si>
    <t>Contrato de Prestação de Serviços, Acordo de Cooperação ou outro sem repasse financeiro</t>
  </si>
  <si>
    <t>N/C</t>
  </si>
  <si>
    <t>24°18m28,50sS - 53°18m30,05sO</t>
  </si>
  <si>
    <t>Estrada Paraná</t>
  </si>
  <si>
    <t xml:space="preserve">Os organicos são depositados em lixão, os volumosos são depositados em uma área um pouco acima do lixão na cratera da antiga pedreira , tude de forma irregular, o municipio em breve ira isolar e recuperar a área, visto que os resíduos serão transbordados para aterro sanitário </t>
  </si>
  <si>
    <t>LEI COMPLEMENTAR Nº 48, DE 19 DE DEZEMBRO DE 2019.</t>
  </si>
  <si>
    <t>1. Agrotóxicos, seus resíduos e embalagens - InpEV - Instituto Nacional de Processamento de Embalagens Vazias, 2. Baterias de chumbo ácido - IBER - Instituto Brasileiro de Energia Reciclável,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13. Óleo Lubrificante e Embalagens de óleos lubrificantes - Instituto Jogue Limpo;, 14. Óleo Lubrificante e Embalagens de óleos lubrificantes - Teclub Indústria e Comércio de Lubrificantes Ltda., 15. Perfurocortantes do GRUPO E, incluindo seringas e canetas injetoras - BHS Comércio e Serviços de Produtos para Saúde LTDA., 16. Pilhas e baterias portáteis - ABREE - Associação Brasileira de Reciclagem de Eletroeletrônicos e Eletrodomésticos</t>
  </si>
  <si>
    <t>Baterias de chumbo ácido, Eletroeletrônicos e seus componentes, Filtros de óleos lubrificantes, Medicamentos de uso humano, Medicamentos de uso veterinário, Óleo Lubrificante e Embalagens de óleos lubrificantes, Perfurocortantes do GRUPO E, incluindo seringas e canetas injetoras</t>
  </si>
  <si>
    <t>Possui área e já realizou o estudo de  caracterização do local, Possui área, já realizou o estudo de  caracterização e iniciou os procedimentos de recuperação do local</t>
  </si>
  <si>
    <t>24°18m28,50s-53°18m30,05sO</t>
  </si>
  <si>
    <t>Foz do Iguaçu</t>
  </si>
  <si>
    <t>08304</t>
  </si>
  <si>
    <t>30842/2022</t>
  </si>
  <si>
    <t>Decreto Municipal nº 28.252/2020</t>
  </si>
  <si>
    <t xml:space="preserve"> "Não há."</t>
  </si>
  <si>
    <t>Veículos para coleta indiferenciada (convencional), Veículos para coleta seletiva de materiais recicláveis, Unidade de Triagem de Materiais Recicláveis, Unidade de Compostagem, Equipamentos para a unidade de triagem de materiais recicláveis, Equipamentos para a unidade de compostagem</t>
  </si>
  <si>
    <t>Decreto Municipal nº 29.728/2021</t>
  </si>
  <si>
    <t>"Não há"</t>
  </si>
  <si>
    <t>-25.46368 -54.60240</t>
  </si>
  <si>
    <t>RUA JOAQUIM MONTEGUETE, S/N°, PORTO BELO, FOZ DO IGUAÇU - PR</t>
  </si>
  <si>
    <t>RENOVAÇÃO LICENÇA AMBIENTAL SIMPLIFICADA 318163-R1</t>
  </si>
  <si>
    <t>LEI COMPLEMENTAR 82/2003</t>
  </si>
  <si>
    <t>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11. Medicamentos de uso humano - Sindusfarma - Sindicato da Indústria de Produtos Farmacêuticos, 16. Pilhas e baterias portáteis - ABREE - Associação Brasileira de Reciclagem de Eletroeletrônicos e Eletrodomésticos, 17. Pneus inservíveis - Associação RECICLANIP</t>
  </si>
  <si>
    <t>-25.57126808848695 -54.504323083809474</t>
  </si>
  <si>
    <t>Foz do Jordão</t>
  </si>
  <si>
    <t>08452</t>
  </si>
  <si>
    <t xml:space="preserve">Não participa </t>
  </si>
  <si>
    <t>Lei 762/2017</t>
  </si>
  <si>
    <t>648/2014</t>
  </si>
  <si>
    <t>Veículos para coleta indiferenciada (convencional), Veículos para coleta seletiva de materiais recicláveis, Veículos para coleta de resíduos orgânicos provenientes de podas e jardinagem, Unidade de Transbordo</t>
  </si>
  <si>
    <t>Bota fora</t>
  </si>
  <si>
    <t>Rua Dom Pedro II</t>
  </si>
  <si>
    <t>Rodovia PR-466, Km 13 S/N Distrito, Guarapuava - PR, 85118-000</t>
  </si>
  <si>
    <t>Há coleta de chorume</t>
  </si>
  <si>
    <t xml:space="preserve">Não realiza </t>
  </si>
  <si>
    <t xml:space="preserve">Não temos conhecimento </t>
  </si>
  <si>
    <t>Consumo em m³</t>
  </si>
  <si>
    <t>Lei 571/2013</t>
  </si>
  <si>
    <t>Francisco Alves</t>
  </si>
  <si>
    <t>08320</t>
  </si>
  <si>
    <t>-24.031986, -53.859275</t>
  </si>
  <si>
    <t>Estrada Yara</t>
  </si>
  <si>
    <t>1. Agrotóxicos, seus resíduos e embalagens - InpEV - Instituto Nacional de Processamento de Embalagens Vazias, 2. Baterias de chumbo ácido - IBER - Instituto Brasileiro de Energia Reciclável, 8. Lâmpadas fluorescentes, de vapor de sódio e mercúrio e de luz mista - RECICLUS - Associação Brasileira para Gestão da Logística Reversa de Produtos de Iluminação;, 13. Óleo Lubrificante e Embalagens de óleos lubrificantes - Instituto Jogue Limpo;, 14. Óleo Lubrificante e Embalagens de óleos lubrificantes - Teclub Indústria e Comércio de Lubrificantes Ltda., 17. Pneus inservíveis - Associação RECICLANIP</t>
  </si>
  <si>
    <t>08403</t>
  </si>
  <si>
    <t>Compostagem comunitária em escolas, associações de moradores, hortas comunitárias, Trituração e compostagem dos resíduos verdes (provenientes de podas e jardinagem)</t>
  </si>
  <si>
    <t>-26.04134334339005, -53.013324032954735</t>
  </si>
  <si>
    <t>Linha Menino Jesus, sem número, área rural CEP 85.606-899</t>
  </si>
  <si>
    <t>Licença de operação - RLO 337685-R2 e LO-A 337685</t>
  </si>
  <si>
    <t>1. Agrotóxicos, seus resíduos e embalagens - InpEV - Instituto Nacional de Processamento de Embalagens Vazias, 2. Baterias de chumbo ácido - IBER - Instituto Brasileiro de Energia Reciclável,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t>
  </si>
  <si>
    <t>General Carneiro</t>
  </si>
  <si>
    <t>08502</t>
  </si>
  <si>
    <t xml:space="preserve">MARINGÁ </t>
  </si>
  <si>
    <t>UNIÃO DA VITÓRIA</t>
  </si>
  <si>
    <t>RESIDUOS SÓLIDOS</t>
  </si>
  <si>
    <t>Veículos para coleta indiferenciada (convencional), Veículos para coleta seletiva de materiais recicláveis, Veículos para coleta de resíduos orgânicos provenientes de podas e jardinagem, Unidade de Triagem de Materiais Recicláveis, Unidade de Transbordo, Equipamentos para a unidade de triagem de materiais recicláveis</t>
  </si>
  <si>
    <t>-26.463658° - -51.309742°</t>
  </si>
  <si>
    <t>-26.102590° - -51.174009°</t>
  </si>
  <si>
    <t>-São Domingos, União da Vitória - PR</t>
  </si>
  <si>
    <t>Empresa privada (terceirizada), Empresa privada e gestão pública</t>
  </si>
  <si>
    <t>Há impermeabilização no fundo e nas laterais (geomembrana),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</si>
  <si>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Cooperativa/Associação, Próprio Município, Empresa privada</t>
  </si>
  <si>
    <t>1431/2017</t>
  </si>
  <si>
    <t>1. Agrotóxicos, seus resíduos e embalagens - InpEV - Instituto Nacional de Processamento de Embalagens Vazias, 2. Baterias de chumbo ácido - IBER - Instituto Brasileiro de Energia Reciclável, 6. Embalagens de aço (latas de tintas, etc.) - Prolata Recicladores e Associados,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12. Medicamentos de uso veterinário - BHS Comércio e Serviços de Produtos para Saúde LTDA, 13. Óleo Lubrificante e Embalagens de óleos lubrificantes - Instituto Jogue Limpo;, 17. Pneus inservíveis - Associação RECICLANIP</t>
  </si>
  <si>
    <t>Embalagens de aço, Embalagens de papel, Embalagens em geral, Lâmpadas fluorescentes, de vapor de sódio e mercúrio e de luz mista, Óleo Lubrificante e Embalagens de óleos lubrificantes, Pilhas e baterias portáteis, Pneus inservíveis, Móveis, colchões e demais resíduos volumosos</t>
  </si>
  <si>
    <t>-26.463658°;-51.309742°</t>
  </si>
  <si>
    <t>Godoy Moreira</t>
  </si>
  <si>
    <t>08551</t>
  </si>
  <si>
    <t>Lei 1007/2020</t>
  </si>
  <si>
    <t>Na área rural, somente coleta de recicláveis</t>
  </si>
  <si>
    <t>Não possui, existe um Bota fora em licenciameto.</t>
  </si>
  <si>
    <t>LAS nº 264141</t>
  </si>
  <si>
    <t>Rodovia Vereador José Gonçalves de Ávila S/N</t>
  </si>
  <si>
    <t>-24.178156948830267, -51.90989912316751</t>
  </si>
  <si>
    <t>Aterro da Empresa Terranorte</t>
  </si>
  <si>
    <t xml:space="preserve">Local devidamente adequado, pela empresa terceirizada, em acordo com as normas do IAT </t>
  </si>
  <si>
    <t>Aterro de empresa Terceirizada</t>
  </si>
  <si>
    <t>17. Pneus inservíveis - Associação RECICLANIP, Os demais é realizada logística reversa pelo próprio gerador, vendedor.</t>
  </si>
  <si>
    <t>Não possui área degradada ou contaminada, Possui área degradada ou contaminada</t>
  </si>
  <si>
    <t>Goioerê</t>
  </si>
  <si>
    <t>08601</t>
  </si>
  <si>
    <t>Veículos para a coleta de resíduos orgânicos (sobras alimentares), Unidade de Compostagem, Ecopontos ou Pontos de Entrega Voluntária</t>
  </si>
  <si>
    <t>própria</t>
  </si>
  <si>
    <t>-24.136000, -53.056183</t>
  </si>
  <si>
    <t>Estrada rural próxima à PR-180</t>
  </si>
  <si>
    <t>Licença de Operação 284549-R2</t>
  </si>
  <si>
    <t>LEI COMPLEMENTAR Nº 12/2009</t>
  </si>
  <si>
    <t>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t>
  </si>
  <si>
    <t>Embalagens de papel, Embalagens em geral, Móveis, colchões e demais resíduos volumosos</t>
  </si>
  <si>
    <t>-24.153939, -53.056156</t>
  </si>
  <si>
    <t>Grandes Rios</t>
  </si>
  <si>
    <t>08700</t>
  </si>
  <si>
    <t>Consórcio Público Intermunicipal de Atenção a Sanidade Agropecuária, Desenvolvimento Rural e Urbano Sustentável da Região Central do Estado do Paraná - CID CENTRO.</t>
  </si>
  <si>
    <t>Pitanga</t>
  </si>
  <si>
    <t>Está amparado pela lei 11.445</t>
  </si>
  <si>
    <t>Lei 12.305</t>
  </si>
  <si>
    <t>Veículos para coleta indiferenciada (convencional), Veículos para coleta seletiva de materiais recicláveis, Unidade de Triagem de Materiais Recicláveis, Unidade de Compostagem, Unidade de Transbordo, Equipamentos para a unidade de triagem de materiais recicláveis</t>
  </si>
  <si>
    <t>24°09'31"S 51°30'40"W</t>
  </si>
  <si>
    <t>23°35'44"S 51°27'49"W</t>
  </si>
  <si>
    <t>Estrada Barra Nova, 1500 - Gleba Nova Ucrania, Apucarana - PR</t>
  </si>
  <si>
    <t>Codigo Tributário Municipal</t>
  </si>
  <si>
    <t>Eletroeletrônicos e seus componentes, Medicamentos de uso humano, Óleo Lubrificante e Embalagens de óleos lubrificantes, Pneus inservíveis</t>
  </si>
  <si>
    <t>16950</t>
  </si>
  <si>
    <t>Guaíra</t>
  </si>
  <si>
    <t>08809</t>
  </si>
  <si>
    <t>O municipio não participa de consorcio</t>
  </si>
  <si>
    <t>LEI Nº 1885, DE 05/06/2014</t>
  </si>
  <si>
    <t>Resíduos dos serviços públicos de saneamento básico, Resíduos industriais, Resíduos de serviços de saúde, Resíduos dos estabelecimentos comerciais e de prestação de serviços que geram resíduos perigosos ou resíduos que não sejam equiparados aos resíduos domiciliares, Resíduos de mineração</t>
  </si>
  <si>
    <t>LEI Nº 1799, DE 18/12/2012</t>
  </si>
  <si>
    <t>Lei n.º. 11.445, de 5 de janeiro de 2007</t>
  </si>
  <si>
    <t>1885/2014</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</si>
  <si>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Ampliação ou adequação de aterro sanitário, Ecopontos ou Pontos de Entrega Voluntária, Equipamentos para a unidade de triagem de materiais recicláveis</t>
  </si>
  <si>
    <t>área sendo construída</t>
  </si>
  <si>
    <t xml:space="preserve">não ha </t>
  </si>
  <si>
    <t>Arborização urbana, Jardins públicos, Doados à população, Outro uso</t>
  </si>
  <si>
    <t>possui</t>
  </si>
  <si>
    <t>-24.097488370911712, -54.28071647653678</t>
  </si>
  <si>
    <t xml:space="preserve">Area rural comunidade são Jose </t>
  </si>
  <si>
    <t>Há flare/queimador dos gases gerados, sem aproveitamento energético,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</si>
  <si>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LEI Nº 2006, DE 21/12/2016  - xecução e procedimento do licenciamento, monitoramento e fiscalização ambiental em caráter municipal</t>
  </si>
  <si>
    <t>004/2022</t>
  </si>
  <si>
    <t>3.839,668,99</t>
  </si>
  <si>
    <t>7.345,717,25</t>
  </si>
  <si>
    <t>1. Agrotóxicos, seus resíduos e embalagens - InpEV - Instituto Nacional de Processamento de Embalagens Vazias, 2. Baterias de chumbo ácido - IBER - Instituto Brasileiro de Energia Reciclável, 3. Eletroeletrônicos e seus componentes - ABREE - Associação Brasileira de Reciclagem de Eletroeletrônicos e Eletrodomésticos;,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12. Medicamentos de uso veterinário - BHS Comércio e Serviços de Produtos para Saúde LTDA, 13. Óleo Lubrificante e Embalagens de óleos lubrificantes - Instituto Jogue Limpo;,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t>
  </si>
  <si>
    <t>Agrotóxicos, seus resíduos e embalagens, Baterias de chumbo ácido, Eletroeletrônicos e seus componentes, Filtros de óleos lubrificantes, Lâmpadas fluorescentes, de vapor de sódio e mercúrio e de luz mista, Medicamentos de uso humano, Medicamentos de uso veterinário, Óleo Lubrificante e Embalagens de óleos lubrificantes, Pilhas e baterias portáteis, Pneus inservíveis</t>
  </si>
  <si>
    <t>28633</t>
  </si>
  <si>
    <t>Doutor Ulysses</t>
  </si>
  <si>
    <t>18600</t>
  </si>
  <si>
    <t>Paula Freitas</t>
  </si>
  <si>
    <t>Guairaçá</t>
  </si>
  <si>
    <t>08908</t>
  </si>
  <si>
    <t>o município não participa de consórcio</t>
  </si>
  <si>
    <t>Lei 044/2011</t>
  </si>
  <si>
    <t>Lei 038/2023</t>
  </si>
  <si>
    <t>Veículos para coleta seletiva de materiais recicláveis, Veículos para coleta de resíduos orgânicos provenientes de podas e jardinagem, Unidade de Triagem de Materiais Recicláveis, Unidade de Compostagem, Unidade de Transbordo, Ecopontos ou Pontos de Entrega Voluntária, Equipamentos para a unidade de compostagem</t>
  </si>
  <si>
    <t>-22.959143138457158, -52.703316577914755</t>
  </si>
  <si>
    <t>PR 180</t>
  </si>
  <si>
    <t>Há canalização do gás, Há flare/queimador dos gases gerados, sem aproveitamento energético, Há impermeabilização no fundo e nas laterais (geomembrana), Há coleta de chorume, Há poços de monitoramento, Há sistema de detecção de vazamento do percolado sob a impermeabilização (IN 33/2025)</t>
  </si>
  <si>
    <t>Lei 026/2025</t>
  </si>
  <si>
    <t>14. Óleo Lubrificante e Embalagens de óleos lubrificantes - Teclub Indústria e Comércio de Lubrificantes Ltda., 15. Perfurocortantes do GRUPO E, incluindo seringas e canetas injetoras - BHS Comércio e Serviços de Produtos para Saúde LTDA., 17. Pneus inservíveis - Associação RECICLANIP</t>
  </si>
  <si>
    <t>20358</t>
  </si>
  <si>
    <t>Pranchita</t>
  </si>
  <si>
    <t>Guapirama</t>
  </si>
  <si>
    <t>09005</t>
  </si>
  <si>
    <t>JOAQUIM TÁVORA</t>
  </si>
  <si>
    <t>Lei Municipal nº 496/2015</t>
  </si>
  <si>
    <t>Lei Municipal nº 314/2012</t>
  </si>
  <si>
    <t>Incentivo à compostagem doméstica, Pátio de compostagem</t>
  </si>
  <si>
    <t>-23.541748667389573, -49.92600290883213</t>
  </si>
  <si>
    <t>Rua Miguel Dias, 226, Centro – CEP: 86.455-000</t>
  </si>
  <si>
    <t>LO125120-R1 - Protocolo: 14.612.912-9</t>
  </si>
  <si>
    <t>Código Tributário nº 224/2010</t>
  </si>
  <si>
    <t>1. Agrotóxicos, seus resíduos e embalagens - InpEV - Instituto Nacional de Processamento de Embalagens Vazias, 3. Eletroeletrônicos e seus componentes - ABREE - Associação Brasileira de Reciclagem de Eletroeletrônicos e Eletrodomésticos;,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14. Óleo Lubrificante e Embalagens de óleos lubrificantes - Teclub Indústria e Comércio de Lubrificantes Ltda., 17. Pneus inservíveis - Associação RECICLANIP</t>
  </si>
  <si>
    <t>8. Associação Nacional dos Catadores e Catadoras de Materiais Recicláveis – ANCAT;, 10. Ambipar Environment Residential Collection;</t>
  </si>
  <si>
    <t>Baterias de chumbo ácido, Eletroeletrônicos e seus componentes, Lâmpadas fluorescentes, de vapor de sódio e mercúrio e de luz mista, Pneus inservíveis</t>
  </si>
  <si>
    <t>Guaporema</t>
  </si>
  <si>
    <t>09104</t>
  </si>
  <si>
    <t>Lei municipal nº 670/2013</t>
  </si>
  <si>
    <t>Lei municipal nº 662/2013</t>
  </si>
  <si>
    <t>Rua Passo Fundo, centro</t>
  </si>
  <si>
    <t>-23.343640484698618, -52.77644147406048</t>
  </si>
  <si>
    <t>-23.617114519703513, -52.638611901885476</t>
  </si>
  <si>
    <t>PR-082 - Cianorte, PR, 87200-000</t>
  </si>
  <si>
    <t>Empresa privada (terceirizada), Autarquia</t>
  </si>
  <si>
    <t>280379-R2</t>
  </si>
  <si>
    <t>Lei nº 815/2016</t>
  </si>
  <si>
    <t>Eletroeletrônicos e seus componentes, Lâmpadas fluorescentes, de vapor de sódio e mercúrio e de luz mista, Medicamentos de uso humano, Pneus inservíveis</t>
  </si>
  <si>
    <t>11001</t>
  </si>
  <si>
    <t>Itambaracá</t>
  </si>
  <si>
    <t>Guaraci</t>
  </si>
  <si>
    <t>09203</t>
  </si>
  <si>
    <t>Consórcio Intermunicipal de Resíduos Sólidos - CIRES</t>
  </si>
  <si>
    <t>Prado Ferreira</t>
  </si>
  <si>
    <t>O consórcio ainda não está em operação.</t>
  </si>
  <si>
    <t>1299/2013</t>
  </si>
  <si>
    <t>Veículos para coleta seletiva de materiais recicláveis, Unidade de Triagem de Materiais Recicláveis, Unidade de Compostagem, Unidade de Transbordo, Equipamentos para a unidade de triagem de materiais recicláveis, Equipamentos para a unidade de compostagem</t>
  </si>
  <si>
    <t>Rodovia PR 542, km 02, s/n</t>
  </si>
  <si>
    <t>22.95750 - 51.666,16</t>
  </si>
  <si>
    <t>23.39692 - 51.13085</t>
  </si>
  <si>
    <t>Rodovia Celso Garcia Cid, 12633. Londrina-Pr.</t>
  </si>
  <si>
    <t>Não possui triagem</t>
  </si>
  <si>
    <t>893/2001</t>
  </si>
  <si>
    <t>Baterias de chumbo ácido, Embalagens de papel, Embalagens em geral, Lâmpadas fluorescentes, de vapor de sódio e mercúrio e de luz mista, Pilhas e baterias portáteis, Pneus inservíveis</t>
  </si>
  <si>
    <t>22.955604 - 51.66595</t>
  </si>
  <si>
    <t>09401</t>
  </si>
  <si>
    <t>NA</t>
  </si>
  <si>
    <t>DECRETO Nº 10.861, DE 01 DE NOVEMBRO DE 2023</t>
  </si>
  <si>
    <t>DECRETO Nº 2494/2012</t>
  </si>
  <si>
    <t>LEI MUNICIAL Nº 3225/2021</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</si>
  <si>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Ampliação ou adequação de aterro sanitário, Ecopontos ou Pontos de Entrega Voluntária, Equipamentos para a unidade de triagem de materiais recicláveis, Equipamentos para a unidade de compostagem</t>
  </si>
  <si>
    <t>Empresa de economia mista</t>
  </si>
  <si>
    <t>Incentivo à compostagem doméstica, Compostagem comunitária em escolas, associações de moradores, hortas comunitárias, Trituração e compostagem dos resíduos verdes (provenientes de podas e jardinagem), Pátio de compostagem</t>
  </si>
  <si>
    <t>Arborização urbana, Jardins Públicos, Doados à população</t>
  </si>
  <si>
    <t>-25.2787 -51.5435</t>
  </si>
  <si>
    <t>Rodovia PR 466 km 13 s/n</t>
  </si>
  <si>
    <t>LO 183220</t>
  </si>
  <si>
    <t>LEI COMPLEMENTAR Nº 150/2022</t>
  </si>
  <si>
    <t>1. Agrotóxicos, seus resíduos e embalagens - InpEV - Instituto Nacional de Processamento de Embalagens Vazias, 2. Baterias de chumbo ácido - IBER - Instituto Brasileiro de Energia Reciclável, 3. Eletroeletrônicos e seus componentes - ABREE - Associação Brasileira de Reciclagem de Eletroeletrônicos e Eletrodomésticos;, 4. Eletroeletrônicos e seus componentes - GREEN ELETRON - Gestora para Resíduos de Equipamentos Eletroeletrônicos Nacional,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t>
  </si>
  <si>
    <t>3. Polen Consultoria e Intermediação de Negócios em Sustentabilidade Ltda.;, 7. ABIHPEC – Associação Brasileira da Indústria de Higiene Pessoal, Perfumaria e Cosméticos;, 9. Associação Brasileira de Bebidas – ABRABE;</t>
  </si>
  <si>
    <t>-25.384233 -51.542057</t>
  </si>
  <si>
    <t>Guaraqueçaba</t>
  </si>
  <si>
    <t>09500</t>
  </si>
  <si>
    <t>leismunicipais.com.br https://leismunicipais.com.br/a/pr/g/guaraquecaba/lei-ordinaria/2013/34/332/lei-ordinaria-n-332-2013-institui-o-plano-municipal-de-saneamento-basico-pmsb-de-guaraquecaba-e-da-outras-providencias leismunicipais.com.br https://leismunicipais.com.br/a/pr/g/guaraquecaba/lei-ordinaria/2013/34/332/lei-ordinaria-n-332-2013-institui-o-plano-municipal-de-saneamento-basico-pmsb-de-guaraquecaba-e-da-outras-providencias</t>
  </si>
  <si>
    <t>Veículos para coleta indiferenciada (convencional), Veículos para coleta seletiva de materiais recicláveis</t>
  </si>
  <si>
    <t xml:space="preserve">Quando há obras de grande porte os resíduos são para fora do município por empresas terceirizada </t>
  </si>
  <si>
    <t>-25.175490  -48.178238</t>
  </si>
  <si>
    <t>ESTRADA DO BRONZE</t>
  </si>
  <si>
    <t>Há flare/queimador dos gases gerados, sem aproveitamento energético, Há impermeabilização no fundo e nas laterais (geomembrana), Há coleta de chorume, Há tratamento do chorume (IN 33/2025 e Portaria IAP 259/2014)</t>
  </si>
  <si>
    <t>Não há sistema de logística reversa no Município</t>
  </si>
  <si>
    <t>-25175490   -48178238</t>
  </si>
  <si>
    <t>Guaratuba</t>
  </si>
  <si>
    <t>09609</t>
  </si>
  <si>
    <t>Em revisão</t>
  </si>
  <si>
    <t>-25,961768, -48,630770</t>
  </si>
  <si>
    <t>Chácara Santo Amaro - Zona Rural</t>
  </si>
  <si>
    <t>Há flare/queimador dos gases gerados, sem aproveitamento energético, Há impermeabilização no fundo e nas laterais (geomembrana), Há coleta de chorume, Há tratamento do chorume (IN 33/2025 e Portaria IAP 259/2014), Há poços de monitoramento, Realiza a cobertura diária dos resíduos</t>
  </si>
  <si>
    <t>Em processo de regularização</t>
  </si>
  <si>
    <t>07405</t>
  </si>
  <si>
    <t>Enéas Marques</t>
  </si>
  <si>
    <t>Honório Serpa</t>
  </si>
  <si>
    <t>09658</t>
  </si>
  <si>
    <t xml:space="preserve">Nenhum </t>
  </si>
  <si>
    <t>Lei nº 952/2022 de 29 de Novembro de 2022</t>
  </si>
  <si>
    <t>Veículos para coleta seletiva de materiais recicláveis</t>
  </si>
  <si>
    <t>reutilizado para aterro</t>
  </si>
  <si>
    <t>Coronel Vivida/PR</t>
  </si>
  <si>
    <t>-26.03010  -52.58999</t>
  </si>
  <si>
    <t>Rodovia Br-158 - Km 498 - s/n Bairro Zona Rural- Alto Palmeirinha - CEp; 85.550-000 - Coronel Vivida/PR</t>
  </si>
  <si>
    <t xml:space="preserve">Licença de Operação 307391 - R2. Validade 17/10/2027 </t>
  </si>
  <si>
    <t>662/2015</t>
  </si>
  <si>
    <t>5. Instituto Recicleiros;</t>
  </si>
  <si>
    <t>Agrotóxicos, seus resíduos e embalagens, Eletroeletrônicos e seus componentes, Lâmpadas fluorescentes, de vapor de sódio e mercúrio e de luz mista, Pilhas e baterias portáteis, Pneus inservíveis, Móveis, colchões e demais resíduos volumosos</t>
  </si>
  <si>
    <t>-26.16687  -52.43009</t>
  </si>
  <si>
    <t>Ibaiti</t>
  </si>
  <si>
    <t>09708</t>
  </si>
  <si>
    <t>Jaboti</t>
  </si>
  <si>
    <t>Lei Municipal, Decreto Municipal</t>
  </si>
  <si>
    <t>Lei n°683/2012</t>
  </si>
  <si>
    <t>Lei municipal n° 802/2015</t>
  </si>
  <si>
    <t xml:space="preserve">Lei municipal n°683/2012	</t>
  </si>
  <si>
    <t xml:space="preserve">Unidade de Compostagem, Ecopontos ou Pontos de Entrega Voluntária, Equipamentos para a unidade de compostagem, BRitador e triturador </t>
  </si>
  <si>
    <t>lei municipal n°793/2015</t>
  </si>
  <si>
    <t>Realiza coleta de vias públicas e descartes irregulares, Possui Ponto de Entrega Voluntária/Ecoponto, Não possui ponto de entrega volutária</t>
  </si>
  <si>
    <t>jaboti</t>
  </si>
  <si>
    <t>-23.78638889 -50.08833333</t>
  </si>
  <si>
    <t>Rodovia Avelino Vieira PR272</t>
  </si>
  <si>
    <t>sem informção</t>
  </si>
  <si>
    <t>sem informação</t>
  </si>
  <si>
    <t>19004</t>
  </si>
  <si>
    <t>Pérola d'Oeste</t>
  </si>
  <si>
    <t>Ibema</t>
  </si>
  <si>
    <t>09757</t>
  </si>
  <si>
    <t xml:space="preserve">plano municipal </t>
  </si>
  <si>
    <t xml:space="preserve">em reestruturação </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</si>
  <si>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de serviços de transportes</t>
  </si>
  <si>
    <t>Lei 054/2013</t>
  </si>
  <si>
    <t>Veículos para coleta seletiva de materiais recicláveis, Veículos para coleta de resíduos orgânicos provenientes de podas e jardinagem, Veículos para a coleta de resíduos orgânicos (sobras alimentares), Unidade de Triagem de Materiais Recicláveis, Ecopontos ou Pontos de Entrega Voluntária, Equipamentos para a unidade de triagem de materiais recicláveis</t>
  </si>
  <si>
    <t>Realiza coleta de pequenos geradores, Possui Ponto de Entrega Voluntária/Ecoponto</t>
  </si>
  <si>
    <t xml:space="preserve">ecopontos (8) </t>
  </si>
  <si>
    <t>Cascavel -PR</t>
  </si>
  <si>
    <t>decreto 2417/2024</t>
  </si>
  <si>
    <t>360,000,00</t>
  </si>
  <si>
    <t>2. Baterias de chumbo ácido - IBER - Instituto Brasileiro de Energia Reciclável, 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6. Embalagens de aço (latas de tintas, etc.) - Prolata Recicladores e Associados, 16. Pilhas e baterias portáteis - ABREE - Associação Brasileira de Reciclagem de Eletroeletrônicos e Eletrodomésticos, 17. Pneus inservíveis - Associação RECICLANIP</t>
  </si>
  <si>
    <t>Baterias de chumbo ácido, Eletroeletrônicos e seus componentes, Embalagens de aço, Embalagens de papel, Embalagens em geral, Pneus inservíveis, Móveis, colchões e demais resíduos volumosos</t>
  </si>
  <si>
    <t>27882</t>
  </si>
  <si>
    <t>Tunas do Paraná</t>
  </si>
  <si>
    <t>Ibiporã</t>
  </si>
  <si>
    <t>09807</t>
  </si>
  <si>
    <t>LM 2449/2011 e atualizações (p. ex. LM 2726/14, LM 3012/19)</t>
  </si>
  <si>
    <t>Resíduos industriais, Resíduos de serviços de saúde, Resíduos da construção civil, Resíduos dos estabelecimentos comerciais e de prestação de serviços que geram resíduos perigosos ou resíduos que não sejam equiparados aos resíduos domiciliares, Resíduos de mineração</t>
  </si>
  <si>
    <t>A Lei municipal 2384/2010 cita o Volume I do Plano Municipal de Saneamento Básico como sua parte integrante. O PMSB está, atualmente, passando por revisão e uma nova lei deverá ser publicada futuramente.</t>
  </si>
  <si>
    <t xml:space="preserve">Não há uma lei que explicitamente institua o PMGIRS, no entanto, a Lei Municipal 2449/2011 menciona a necessidade de o município realizar o PMGIRS, bem como itens a serem contemplados no Plano. </t>
  </si>
  <si>
    <t>Ecopontos ou Pontos de Entrega Voluntária, campanhas de comunicação e educação ambiental</t>
  </si>
  <si>
    <t>11204.14</t>
  </si>
  <si>
    <t>65.2</t>
  </si>
  <si>
    <t>18.6</t>
  </si>
  <si>
    <t>16.2</t>
  </si>
  <si>
    <t>15612.88</t>
  </si>
  <si>
    <t>Área de triagem e transbordo de RCC, Aterro de Construção Civil</t>
  </si>
  <si>
    <t>Porta-a-porta, lixeiras comunitárias</t>
  </si>
  <si>
    <t>-487787.0  -7411720.0</t>
  </si>
  <si>
    <t>Rod. Celso Garcia Cid, 12633 - Gleba Cafezal, Londrina-PR. CEP 86044-290</t>
  </si>
  <si>
    <t>Há canalização do gás, Há flare/queimador dos gases gerados, sem aproveitamento energético, Há impermeabilização no fundo e nas laterais (geomembrana), Há coleta de chorume, Há tratamento do chorume (IN 33/2025 e Portaria IAP 259/2014), Há poços de monitoramento, Realiza a cobertura diária dos resíduos</t>
  </si>
  <si>
    <t>Renovação de Licença de Operação (RLO n° 315252-R3, Prot. 20.374.615-6)</t>
  </si>
  <si>
    <t xml:space="preserve">Lei Municipal 2449/2011 e Decretos do Samae que a reajustam (Decreto 629/2024). </t>
  </si>
  <si>
    <t>292.36</t>
  </si>
  <si>
    <t xml:space="preserve">Conselho Municipal de Meio Ambiente e ou Saneamento Ambiental, No processo de revisão do PMGIRS realizado em 2024 e 2025, foram realizadas audiências públicas e reuniões comunitárias. </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</si>
  <si>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13. Óleo Lubrificante e Embalagens de óleos lubrificantes - Instituto Jogue Limpo;</t>
  </si>
  <si>
    <t>Eletroeletrônicos e seus componentes, Móveis, colchões e demais resíduos volumosos</t>
  </si>
  <si>
    <t>-23.249973, -51.050441</t>
  </si>
  <si>
    <t xml:space="preserve">E Protocolo: 19.316.096-4 (IAT) - protocolado PRAD. </t>
  </si>
  <si>
    <t>Iguaraçu</t>
  </si>
  <si>
    <t>10003</t>
  </si>
  <si>
    <t>Gestão e monitoramento da água do município.</t>
  </si>
  <si>
    <t>Lei 054/2014</t>
  </si>
  <si>
    <t>Resíduos industriais</t>
  </si>
  <si>
    <t>Lei 074/2013</t>
  </si>
  <si>
    <t>073/2013</t>
  </si>
  <si>
    <t>Veículos para coleta indiferenciada (convencional), Veículos para coleta seletiva de materiais recicláveis, Veículos para coleta de resíduos orgânicos provenientes de podas e jardinagem, Unidade de Triagem de Materiais Recicláveis, Unidade de Compostagem, Ampliação ou adequação de aterro sanitário, Equipamentos para a unidade de triagem de materiais recicláveis, Equipamentos para a unidade de compostagem</t>
  </si>
  <si>
    <t>Incorporado junto ao plano de resíduos sólidos</t>
  </si>
  <si>
    <t>em processo de renovação</t>
  </si>
  <si>
    <t>Rua João Fernandes da Fonseca, s/n, centro, Iguaraçu-Pr.</t>
  </si>
  <si>
    <t>LAT. -23.192755° LONG. -51.819149°</t>
  </si>
  <si>
    <t>LAT. -23.478309° LONG -51.955923°</t>
  </si>
  <si>
    <t>Serrana engenharia - Estrada São José, km 04 - lote 47 - Maringá PR</t>
  </si>
  <si>
    <t>Há flare/queimador dos gases gerados, sem aproveitamento energético, Há impermeabilização no fundo e nas laterais (geomembrana), Há tratamento do chorume (IN 33/2025 e Portaria IAP 259/2014), Há poços de monitoramento, Realiza a cobertura diária dos resíduos</t>
  </si>
  <si>
    <t>282578-R3</t>
  </si>
  <si>
    <t>Possui área degradada ou contaminada, Possui área e já realizou o estudo de  caracterização do local</t>
  </si>
  <si>
    <t>Lat. -23.183137° / Long. -51.831930°</t>
  </si>
  <si>
    <t>26272</t>
  </si>
  <si>
    <t>Saudade do Iguaçu</t>
  </si>
  <si>
    <t>Iguatu</t>
  </si>
  <si>
    <t>10052</t>
  </si>
  <si>
    <t>Resíduos dos serviços públicos de saneamento básico</t>
  </si>
  <si>
    <t>Lei 660/2013, de 18/12/2013</t>
  </si>
  <si>
    <t>Lei 688/2014, de 01 de setembro de 2014</t>
  </si>
  <si>
    <t>Veículos para a coleta de resíduos orgânicos (sobras alimentares), Unidade de Compostagem</t>
  </si>
  <si>
    <t xml:space="preserve">Geradores </t>
  </si>
  <si>
    <t>Responsabilidade gerador</t>
  </si>
  <si>
    <t>24,720008/53,097744</t>
  </si>
  <si>
    <t>Estrada Rural Saída para BR 369</t>
  </si>
  <si>
    <t>Há poços de monitoramento</t>
  </si>
  <si>
    <t>Vencida</t>
  </si>
  <si>
    <t>07736</t>
  </si>
  <si>
    <t>Fernandes Pinheiro</t>
  </si>
  <si>
    <t>Inácio Martins</t>
  </si>
  <si>
    <t>10201</t>
  </si>
  <si>
    <t>Consórcio Intermunicipal para Desenvolvimento Regional - CONDER</t>
  </si>
  <si>
    <t xml:space="preserve">Irati </t>
  </si>
  <si>
    <t>864/2017</t>
  </si>
  <si>
    <t>877/2017</t>
  </si>
  <si>
    <t>Associação de catadores contratados pelo município</t>
  </si>
  <si>
    <t>Queimadas</t>
  </si>
  <si>
    <t>-25.556731 -51.117211</t>
  </si>
  <si>
    <t>-25.279541 -51.538870</t>
  </si>
  <si>
    <t>Rodovia PR-466, Km 13 S/N Distrito Guarapuava - PR</t>
  </si>
  <si>
    <t>2. Baterias de chumbo ácido - IBER - Instituto Brasileiro de Energia Reciclável, 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 17. Pneus inservíveis - Associação RECICLANIP</t>
  </si>
  <si>
    <t>Baterias de chumbo ácido, Eletroeletrônicos e seus componentes, Lâmpadas fluorescentes, de vapor de sódio e mercúrio e de luz mista, Perfurocortantes do GRUPO E, incluindo seringas e canetas injetoras, Pilhas e baterias portáteis, Pneus inservíveis</t>
  </si>
  <si>
    <t>nÃO HÁ</t>
  </si>
  <si>
    <t>Inajá</t>
  </si>
  <si>
    <t>10300</t>
  </si>
  <si>
    <t>Construção civil</t>
  </si>
  <si>
    <t>1.074 de 03 de maio de 2019</t>
  </si>
  <si>
    <t>1.044 de 08 de novembro de 2018</t>
  </si>
  <si>
    <t>lei Municipal</t>
  </si>
  <si>
    <t>1.189 de 10 de setembro de 2021</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</si>
  <si>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t>
  </si>
  <si>
    <t>467.56</t>
  </si>
  <si>
    <t>400.00</t>
  </si>
  <si>
    <t>Área de triagem e transbordo de RCC, area de transbordo</t>
  </si>
  <si>
    <t>Estrada Vila Nova</t>
  </si>
  <si>
    <t>100.00</t>
  </si>
  <si>
    <t>250.00</t>
  </si>
  <si>
    <t>Gleba Parimonio Sumaré lote 34</t>
  </si>
  <si>
    <t>Há tratamento do chorume (IN 33/2025 e Portaria IAP 259/2014), Há sistema de detecção de vazamento do percolado sob a impermeabilização (IN 33/2025)</t>
  </si>
  <si>
    <t>area de transbordo</t>
  </si>
  <si>
    <t>150.00</t>
  </si>
  <si>
    <t>775 de 21 de dezembro de 2009</t>
  </si>
  <si>
    <t>-22.7542018 -52.2112018</t>
  </si>
  <si>
    <t>n/h</t>
  </si>
  <si>
    <t>Indianópolis</t>
  </si>
  <si>
    <t>10409</t>
  </si>
  <si>
    <t>indianopolis</t>
  </si>
  <si>
    <t>lei nº405/2013</t>
  </si>
  <si>
    <t>lei 413/2013</t>
  </si>
  <si>
    <t xml:space="preserve"> estradas e erosões</t>
  </si>
  <si>
    <t>cianorte</t>
  </si>
  <si>
    <t>-23,61748  -52,63900</t>
  </si>
  <si>
    <t>pr 082</t>
  </si>
  <si>
    <t>operação</t>
  </si>
  <si>
    <t>44/1973</t>
  </si>
  <si>
    <t xml:space="preserve">empresas que coletam </t>
  </si>
  <si>
    <t>Eletroeletrônicos e seus componentes, Lâmpadas fluorescentes, de vapor de sódio e mercúrio e de luz mista, Medicamentos de uso humano, Pilhas e baterias portáteis, Pneus inservíveis, Móveis, colchões e demais resíduos volumosos</t>
  </si>
  <si>
    <t>08650</t>
  </si>
  <si>
    <t>Goioxim</t>
  </si>
  <si>
    <t>Ipiranga</t>
  </si>
  <si>
    <t>10508</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</si>
  <si>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de mineração</t>
  </si>
  <si>
    <t>Lei nº 2895</t>
  </si>
  <si>
    <t>LEI Nº 2.301</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</si>
  <si>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t>
  </si>
  <si>
    <t>LAS nº 268770</t>
  </si>
  <si>
    <t>Rodovia PR 487 - Pinhão</t>
  </si>
  <si>
    <t>-25.054769 -50.530816</t>
  </si>
  <si>
    <t>Piraí do Sul</t>
  </si>
  <si>
    <t>602468.2, 7278979.6</t>
  </si>
  <si>
    <t>C226+2R, Piraí do Sul - PR, CEP: 84240-000</t>
  </si>
  <si>
    <t>LEI COMPLEMENTAR Nº 30/2018</t>
  </si>
  <si>
    <t>460358.27</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</si>
  <si>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17. Pneus inservíveis - Associação RECICLANIP</t>
  </si>
  <si>
    <t>Agrotóxicos, seus resíduos e embalagens, Baterias de chumbo ácido, Eletroeletrônicos e seus componentes, Embalagens de aço, Embalagens de papel, Embalagens em geral, Filtros de óleos lubrificantes, Lâmpadas fluorescentes, de vapor de sódio e mercúrio e de luz mista, Óleo Lubrificante e Embalagens de óleos lubrificantes, Pilhas e baterias portáteis, Pneus inservíveis</t>
  </si>
  <si>
    <t>-25.054769, -50.530816</t>
  </si>
  <si>
    <t>Processo nº 22.549.332-4</t>
  </si>
  <si>
    <t>Iporã</t>
  </si>
  <si>
    <t>10607</t>
  </si>
  <si>
    <t>NÃO APLICA</t>
  </si>
  <si>
    <t>1396/2015</t>
  </si>
  <si>
    <t>Veículos para coleta seletiva de materiais recicláveis, Veículos para coleta de resíduos orgânicos provenientes de podas e jardinagem, Veículos para a coleta de resíduos orgânicos (sobras alimentares), Unidade de Triagem de Materiais Recicláveis, Ampliação ou adequação de aterro sanitário</t>
  </si>
  <si>
    <t>ECO PONTO</t>
  </si>
  <si>
    <t>-24.049776, -53.727780</t>
  </si>
  <si>
    <t>ESTRADA PAVANI LOTE 110B SUBDIVISÃO LOTE Nº 110B, BAIRRO SANDIR 1º PARTE - GLEBA ATLÂNTIDA</t>
  </si>
  <si>
    <t>04/2024</t>
  </si>
  <si>
    <t>não sabe informar</t>
  </si>
  <si>
    <t>parceria com a cooperativa Sicob - papa pilhas</t>
  </si>
  <si>
    <t>-23.999035, -53.722068</t>
  </si>
  <si>
    <t>Iracema do Oeste</t>
  </si>
  <si>
    <t>10656</t>
  </si>
  <si>
    <t xml:space="preserve">O municipio não participa de nenhum consórcio </t>
  </si>
  <si>
    <t xml:space="preserve">No municipio não tem grandes geradores de residuos solidos </t>
  </si>
  <si>
    <t xml:space="preserve">Oficio PMIO AD n° 027/2025 </t>
  </si>
  <si>
    <t xml:space="preserve">Não Há </t>
  </si>
  <si>
    <t xml:space="preserve">LAS n° 307663 - Porem não estava operando </t>
  </si>
  <si>
    <t xml:space="preserve">Lote Rural n° 248 Ramal São Luiz </t>
  </si>
  <si>
    <t>-24.442895  -53.327742</t>
  </si>
  <si>
    <t xml:space="preserve">Iracema do Oeste </t>
  </si>
  <si>
    <t xml:space="preserve">Lote Rural n° 248 Ramal são Luiz </t>
  </si>
  <si>
    <t xml:space="preserve">não realizamos </t>
  </si>
  <si>
    <t>35.000.00</t>
  </si>
  <si>
    <t>94900.00</t>
  </si>
  <si>
    <t>1000.00</t>
  </si>
  <si>
    <t>54049.00</t>
  </si>
  <si>
    <t>-24.442895 , - 53.327742</t>
  </si>
  <si>
    <t>Irati</t>
  </si>
  <si>
    <t>10706</t>
  </si>
  <si>
    <t>Lei nº 5.117, de 03 de maio de 2024</t>
  </si>
  <si>
    <t xml:space="preserve"> Lei nº 5.115, de 03 de maio de 2024</t>
  </si>
  <si>
    <t>Empresas com serviços de aluguel de caçambas estacionárias para remoção de resíduos de construção civil e demolição</t>
  </si>
  <si>
    <t>LAS nº 227005</t>
  </si>
  <si>
    <t>Complexo GARI</t>
  </si>
  <si>
    <t>-25.509965, -50.655231</t>
  </si>
  <si>
    <t>Teixeira Soares</t>
  </si>
  <si>
    <t>-25.180205, -50.281184</t>
  </si>
  <si>
    <t>Guaraúna</t>
  </si>
  <si>
    <t>LO 335423</t>
  </si>
  <si>
    <t>16. Baterias Chumbo-Ácido - Associação Brasileira de Energia Sustentável – ABES</t>
  </si>
  <si>
    <t xml:space="preserve">-25.377610, -50.764625
</t>
  </si>
  <si>
    <t>Iretama</t>
  </si>
  <si>
    <t>10805</t>
  </si>
  <si>
    <t>Lei 019/2016</t>
  </si>
  <si>
    <t>Veículos para coleta indiferenciada (convencional), Veículos para coleta seletiva de materiais recicláveis, Ampliação ou adequação de aterro sanitário, Equipamentos para a unidade de triagem de materiais recicláveis</t>
  </si>
  <si>
    <t>LAS n° 343544-R1</t>
  </si>
  <si>
    <t>Rod BR 462</t>
  </si>
  <si>
    <t>-24.402658° -52.095690°</t>
  </si>
  <si>
    <t>GUARAPUAVA</t>
  </si>
  <si>
    <t>-25.276854° -51.541011°</t>
  </si>
  <si>
    <t>RODOVIA PR 466</t>
  </si>
  <si>
    <t>LEI 084/2022</t>
  </si>
  <si>
    <t>Eletroeletrônicos e seus componentes, Medicamentos de uso humano, Pilhas e baterias portáteis, Móveis, colchões e demais resíduos volumosos</t>
  </si>
  <si>
    <t>Itaguajé</t>
  </si>
  <si>
    <t>10904</t>
  </si>
  <si>
    <t>Associação dos municípios do Cetentrião Paranaense - AMUCEP</t>
  </si>
  <si>
    <t>Coleta e Transporte, Disposição final</t>
  </si>
  <si>
    <t>382.013 de 14/10/2013</t>
  </si>
  <si>
    <t>750.8</t>
  </si>
  <si>
    <t xml:space="preserve">Em andamento </t>
  </si>
  <si>
    <t>Gleba 0Q Colônia Governador Lupion, Lote 249, Área Rural</t>
  </si>
  <si>
    <t>-22.638237196341066, -51.96482446662641</t>
  </si>
  <si>
    <t>-23.475404347300422, -51.957376260485034</t>
  </si>
  <si>
    <t>256.451, RLO</t>
  </si>
  <si>
    <t>179061.51</t>
  </si>
  <si>
    <t>-22.637283336252704, -51.96438464168108</t>
  </si>
  <si>
    <t>Itaipulândia</t>
  </si>
  <si>
    <t>10953</t>
  </si>
  <si>
    <t>2.144/2024</t>
  </si>
  <si>
    <t>2.143/2024</t>
  </si>
  <si>
    <t>Contrato n° 0019/2022</t>
  </si>
  <si>
    <t>Veículos para coleta de resíduos orgânicos provenientes de podas e jardinagem, Veículos para a coleta de resíduos orgânicos (sobras alimentares), Unidade de Compostagem, Unidade de Transbordo, Ampliação ou adequação de aterro sanitário, Ecopontos ou Pontos de Entrega Voluntária, Equipamentos para a unidade de triagem de materiais recicláveis, Equipamentos para a unidade de compostagem</t>
  </si>
  <si>
    <t>ASSOREMI- ASSOCIAÇÃO DE RECICLADORES DO MUNICÍPIO DE ITAIPULÂNDIA</t>
  </si>
  <si>
    <t>Aterro industrial, área irregular de acondicionamento- Bota Fora</t>
  </si>
  <si>
    <t>-25.123901 -54.351880</t>
  </si>
  <si>
    <t>Estrada Rural s/n - Linha santa Inês - Município de Itaipulândia</t>
  </si>
  <si>
    <t>Há canalização do gás, Há impermeabilização no fundo e nas laterais (geomembrana), Há coleta de chorume, Há poços de monitoramento, Há sistema de detecção de vazamento do percolado sob a impermeabilização (IN 33/2025), Realiza a cobertura diária dos resíduos</t>
  </si>
  <si>
    <t>Licença Operação n°. 284406</t>
  </si>
  <si>
    <t>Lei Complementar n°. 001/2017</t>
  </si>
  <si>
    <t>12. Pragma Soluções Serviços e Projetos Ltda;</t>
  </si>
  <si>
    <t>Eletroeletrônicos e seus componentes, Medicamentos de uso humano, Perfurocortantes do GRUPO E, incluindo seringas e canetas injetoras, Pilhas e baterias portáteis, Pneus inservíveis, Móveis, colchões e demais resíduos volumosos</t>
  </si>
  <si>
    <t>-25.129087 -54.318080</t>
  </si>
  <si>
    <t>Itambé</t>
  </si>
  <si>
    <t>11100</t>
  </si>
  <si>
    <t xml:space="preserve">A Lei Municipal nº 1160/2013 </t>
  </si>
  <si>
    <t>O MUNICIPIO</t>
  </si>
  <si>
    <t>-23.626686016806882, -51.96913669379102</t>
  </si>
  <si>
    <t>Estrada Boninas Mooca, s/n, Cx Postal 73 Gleba do Ribeirão Aquidabam, Itambé - PR</t>
  </si>
  <si>
    <t>Há flare/queimador dos gases gerados, sem aproveitamento energético, Há impermeabilização no fundo e nas laterais (geomembrana), Há coleta de chorume, Há poços de monitoramento, Há sistema de detecção de vazamento do percolado sob a impermeabilização (IN 33/2025), Realiza a cobertura diária dos resíduos, Realiza o monitoramento de corpos hídricos no entorno</t>
  </si>
  <si>
    <t>LICENÇA AMBIENTAL OPERACIONAL</t>
  </si>
  <si>
    <t>LEI Nº 1164/2013 -  CÓD. TRIBUTARIO</t>
  </si>
  <si>
    <t>Conselho Municipal de Saneamento Básico e do Fundo Municipal de Saneamento,</t>
  </si>
  <si>
    <t xml:space="preserve">NÃO </t>
  </si>
  <si>
    <t>-23.627008303674813, -51.9713203679867</t>
  </si>
  <si>
    <t>Itapejara d'Oeste</t>
  </si>
  <si>
    <t>11209</t>
  </si>
  <si>
    <t>Lei 1434</t>
  </si>
  <si>
    <t>Aterro de lotes</t>
  </si>
  <si>
    <t>Coronel Vivida -PR</t>
  </si>
  <si>
    <t>-25.979676  -52.570724</t>
  </si>
  <si>
    <t>Zona Rural s/n - Linha palmeirinha - Coronel Vivida -Pr</t>
  </si>
  <si>
    <t>Não é de meu conhecimento a estrutura do aterro sanitário</t>
  </si>
  <si>
    <t>Licença de operação 322190</t>
  </si>
  <si>
    <t>Itaperuçu</t>
  </si>
  <si>
    <t>11258</t>
  </si>
  <si>
    <t>CURITIBA</t>
  </si>
  <si>
    <t>FAZENDA RIO GRANDE</t>
  </si>
  <si>
    <t>LEI</t>
  </si>
  <si>
    <t>511/2010</t>
  </si>
  <si>
    <t>LEI Municipal 659/2020</t>
  </si>
  <si>
    <t>Veículos para coleta indiferenciada (convencional), Veículos para coleta seletiva de materiais recicláveis, Veículos para coleta de resíduos orgânicos provenientes de podas e jardinagem, Unidade de Triagem de Materiais Recicláveis, Unidade de Compostagem, Unidade de Transbordo, Ecopontos ou Pontos de Entrega Voluntária, Equipamentos para a unidade de triagem de materiais recicláveis, Equipamentos para a unidade de compostagem</t>
  </si>
  <si>
    <t>PARTICULAR</t>
  </si>
  <si>
    <t>LICENCA DE OPERAÇÃO</t>
  </si>
  <si>
    <t>RODOVIA DOS MINÉRIO KM 27</t>
  </si>
  <si>
    <t>-25.214432 -49.305777</t>
  </si>
  <si>
    <t>processo em fase de implantação</t>
  </si>
  <si>
    <t>-25,66229 -4933892</t>
  </si>
  <si>
    <t>Há flare/queimador dos gases gerados, sem aproveitamento energético, Há impermeabilização no fundo e nas laterais (geomembrana), Há coleta de chorume, Há tratamento do chorume (IN 33/2025 e Portaria IAP 259/2014), Há poços de monitoramento, Há sistema de detecção de vazamento do percolado sob a impermeabilização (IN 33/2025), Realiza o monitoramento de corpos hídricos no entorno</t>
  </si>
  <si>
    <t>COLETA SELETIVA</t>
  </si>
  <si>
    <t>LICENÇA</t>
  </si>
  <si>
    <t>Itaúna do Sul</t>
  </si>
  <si>
    <t>11308</t>
  </si>
  <si>
    <t>Consórcio Intermunicipal da APA Federal do Noroeste do Paraná - COMAFEN</t>
  </si>
  <si>
    <t>Loanda</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</si>
  <si>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t>
  </si>
  <si>
    <t xml:space="preserve">não Há </t>
  </si>
  <si>
    <t>Lei Municipal 1365/2020</t>
  </si>
  <si>
    <t>Veículos para coleta de resíduos orgânicos provenientes de podas e jardinagem, Veículos para a coleta de resíduos orgânicos (sobras alimentares), Equipamentos para a unidade de compostagem</t>
  </si>
  <si>
    <t xml:space="preserve">Aproveitamento em cascalhamento em estradas </t>
  </si>
  <si>
    <t>Compostagem comunitária em escolas, associações de moradores, hortas comunitárias, Trituração e compostagem dos resíduos verdes (provenientes de podas e jardinagem), Pátio de compostagem</t>
  </si>
  <si>
    <t xml:space="preserve">Itaúna do Sul </t>
  </si>
  <si>
    <t xml:space="preserve"> -22.737356339304846, -52.872736149593926</t>
  </si>
  <si>
    <t>Estrada Rural Itaúna do Sul, Lote 31-A Gleba 1-B, 4 parte, 2 Secção da Colônia Paranavai</t>
  </si>
  <si>
    <t>Há flare/queimador dos gases gerados, sem aproveitamento energético, Há impermeabilização no fundo e nas laterais (geomembrana), Há coleta de chorume, Há poços de monitoramento, Realiza a cobertura diária dos resíduos</t>
  </si>
  <si>
    <t>Licença de Operação N303970</t>
  </si>
  <si>
    <t>Lei n 322/2001</t>
  </si>
  <si>
    <t>10. Ambipar Environment Residential Collection;</t>
  </si>
  <si>
    <t>Eletroeletrônicos e seus componentes, Embalagens em geral, Móveis, colchões e demais resíduos volumosos</t>
  </si>
  <si>
    <t>Aterro Sanitário: -22.737356339304846, -52.872736149593926  - Conjunto Dom Benjamin II: -22.730616251202733, -52.87926110675017  - Cemitério Municipal: -22.726572146103937, -52.892758671181646</t>
  </si>
  <si>
    <t>Aterro Sanitário - Licença de Operação 303970</t>
  </si>
  <si>
    <t>Ivaiporã</t>
  </si>
  <si>
    <t>11506</t>
  </si>
  <si>
    <t>O município não participa de consórcio.</t>
  </si>
  <si>
    <t>Resíduos industriais, Resíduos de serviços de saúde, Resíduos dos estabelecimentos comerciais e de prestação de serviços que geram resíduos perigosos ou resíduos que não sejam equiparados aos resíduos domiciliares, Resíduos agrossilvopastoris</t>
  </si>
  <si>
    <t>https://www.controlemunicipal.com.br/inga/sistema/arquivos/12074/140715082636_l_2_5052014__institui_o_plano_de_gestao_integrada_de_residuos_solidos__ple_962014_pdf.pdf</t>
  </si>
  <si>
    <t>Veículos para coleta indiferenciada (convencional), Veículos para coleta seletiva de materiais recicláveis, Veículos para coleta de resíduos orgânicos provenientes de podas e jardinagem, Veículos para a coleta de resíduos orgânicos (sobras alimentares), Ampliação ou adequação de aterro sanitário, Ecopontos ou Pontos de Entrega Voluntária, Equipamentos para a unidade de triagem de materiais recicláveis</t>
  </si>
  <si>
    <t>6770.28</t>
  </si>
  <si>
    <t>45.30</t>
  </si>
  <si>
    <t>15.5</t>
  </si>
  <si>
    <t>Unidade de recebimento, triagem, coleta, transporte, segregação, e acondicionamento de resíduos sólidos da construção civil</t>
  </si>
  <si>
    <t>Arborização urbana, Jardins Públicos, Outra finalidade</t>
  </si>
  <si>
    <t>O município tem seu próprio Aterro Sanitário Municipal.</t>
  </si>
  <si>
    <t>-24.249145  -51.636000</t>
  </si>
  <si>
    <t>Estrada para Santa Bárbara - Aterro Sanitário Municipal - Lote de Terras nº 77, 77-A, 78, 78-B e 78-C.</t>
  </si>
  <si>
    <t>Há canalização do gás, Há impermeabilização no fundo e nas laterais (geomembrana), Há coleta de chorume, Há poços de monitoramento, Realiza a cobertura diária dos resíduos, Realiza o monitoramento de corpos hídricos no entorno</t>
  </si>
  <si>
    <t>O município não faz triagem manual ou mecanizada.</t>
  </si>
  <si>
    <t>RLO - 1896042-R1</t>
  </si>
  <si>
    <t xml:space="preserve">Lei Complementar nº6/2014 e Lei Complementar nº54/2023 </t>
  </si>
  <si>
    <t>344.30</t>
  </si>
  <si>
    <t>-24.223353  -51.632113</t>
  </si>
  <si>
    <t>Ivaté</t>
  </si>
  <si>
    <t>11555</t>
  </si>
  <si>
    <t>CIBAX</t>
  </si>
  <si>
    <t>IPORÂ</t>
  </si>
  <si>
    <t>gestão e licenciamento</t>
  </si>
  <si>
    <t>tem outras destinações</t>
  </si>
  <si>
    <t>-23.363165, -53.414568</t>
  </si>
  <si>
    <t>estrada são silvestre 500 m</t>
  </si>
  <si>
    <t>não é feito</t>
  </si>
  <si>
    <t>n/d</t>
  </si>
  <si>
    <t>00000</t>
  </si>
  <si>
    <t xml:space="preserve">Conselho Municipal de Meio Ambiente e ou Saneamento Ambiental, o concelho existe em lei porém não é ativo na pratica </t>
  </si>
  <si>
    <t>Eletroeletrônicos e seus componentes, Lâmpadas fluorescentes, de vapor de sódio e mercúrio e de luz mista, Pneus inservíveis, Móveis, colchões e demais resíduos volumosos</t>
  </si>
  <si>
    <t>Ivatuba</t>
  </si>
  <si>
    <t>11605</t>
  </si>
  <si>
    <t>762/2017</t>
  </si>
  <si>
    <t>795/2018</t>
  </si>
  <si>
    <t>área de bota fora</t>
  </si>
  <si>
    <t>estrada napides guidini s/n</t>
  </si>
  <si>
    <t>-23.628587, -52.227009</t>
  </si>
  <si>
    <t>maringá</t>
  </si>
  <si>
    <t>pedreira ingá - maringá</t>
  </si>
  <si>
    <t>Há canalização do gás, Há impermeabilização no fundo e nas laterais (geomembrana), Há coleta de chorume, Há poços de monitoramento, Realiza a cobertura diária dos resíduos, Realiza o monitoramento de corpos hídricos no entorno, não possuímos mais informações</t>
  </si>
  <si>
    <t xml:space="preserve">-23.628587, -52.227009
</t>
  </si>
  <si>
    <t>11704</t>
  </si>
  <si>
    <t>Lei ordinária 82 de 2016</t>
  </si>
  <si>
    <t>lei ordinária 251/2024</t>
  </si>
  <si>
    <t>Veículos para coleta seletiva de materiais recicláveis, Unidade de Triagem de Materiais Recicláveis, Ecopontos ou Pontos de Entrega Voluntária</t>
  </si>
  <si>
    <t>37.65</t>
  </si>
  <si>
    <t>77.23</t>
  </si>
  <si>
    <t>28.9</t>
  </si>
  <si>
    <t>Trituração e compostagem em leiras, Aterro Sanitário</t>
  </si>
  <si>
    <t>-23.787330° -50.088836°</t>
  </si>
  <si>
    <t>PR 272 CIAS</t>
  </si>
  <si>
    <t>Há canalização do gás, Há impermeabilização no fundo e nas laterais (geomembrana), Realiza a cobertura diária dos resíduos</t>
  </si>
  <si>
    <t>atualmente está operando com TAC, buscando regularização da L.O</t>
  </si>
  <si>
    <t>Lei complementar 19/2016</t>
  </si>
  <si>
    <t>n/i</t>
  </si>
  <si>
    <t xml:space="preserve">nenhuma </t>
  </si>
  <si>
    <t>1. Instituto de Promoção e Apoio à Reciclagem – InPAR;, 4. Instituto Rever;, 5. Instituto Recicleiros;, 6. Instituto Giro (EURECICLO);, 8. Associação Nacional dos Catadores e Catadoras de Materiais Recicláveis – ANCAT;</t>
  </si>
  <si>
    <t>-23.731011° -50.073022°</t>
  </si>
  <si>
    <t>Jacarezinho</t>
  </si>
  <si>
    <t>11803</t>
  </si>
  <si>
    <t>Não participa.</t>
  </si>
  <si>
    <t>Lei Municipal nº 3.537/2018</t>
  </si>
  <si>
    <t xml:space="preserve">Lei nº 4.297, de 19 de janeiro de 2023 </t>
  </si>
  <si>
    <t>-23.160435, -49.983270</t>
  </si>
  <si>
    <t>Estrada Municipal 109-S, Km2, Bairro Ouro Grande.</t>
  </si>
  <si>
    <t>Licença de Operação.</t>
  </si>
  <si>
    <t xml:space="preserve"> Campanhas pontuais promovidas por varejistas ou empresas (ex.: coletas esporádicas de lâmpadas, pilhas, eletroeletrônicos em supermercados ou lojas), mas sem unidade implantada oficialmente pela SEDEST ou sistemas nacionais.</t>
  </si>
  <si>
    <t>-23.173185, -49.984252</t>
  </si>
  <si>
    <t>Jaguapitã</t>
  </si>
  <si>
    <t>11902</t>
  </si>
  <si>
    <t>032/2016</t>
  </si>
  <si>
    <t>lei mun. 032/2026</t>
  </si>
  <si>
    <t>Lei 032/2016</t>
  </si>
  <si>
    <t>LAS - 17159136-8</t>
  </si>
  <si>
    <t>ESTRADA RURAL JAGUAPITA- MIRASELVA KM 05</t>
  </si>
  <si>
    <t>-23.062491, -51.517061</t>
  </si>
  <si>
    <t>APUCARANA - TERRA NORTE</t>
  </si>
  <si>
    <t>-23.595154, -51.463580</t>
  </si>
  <si>
    <t xml:space="preserve">NAO HA </t>
  </si>
  <si>
    <t xml:space="preserve">NAO SEI </t>
  </si>
  <si>
    <t>TAXA</t>
  </si>
  <si>
    <t>Área da edificação, Outro</t>
  </si>
  <si>
    <t>Não conseguimos esses dados a tempo.</t>
  </si>
  <si>
    <t>não conseguimos esses dados a tempo.</t>
  </si>
  <si>
    <t>R$ 256/ton</t>
  </si>
  <si>
    <t>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t>
  </si>
  <si>
    <t>Lâmpadas fluorescentes, de vapor de sódio e mercúrio e de luz mista, Medicamentos de uso humano, Perfurocortantes do GRUPO E, incluindo seringas e canetas injetoras, Pilhas e baterias portáteis, Móveis, colchões e demais resíduos volumosos</t>
  </si>
  <si>
    <t>-23.062480, -51.516522</t>
  </si>
  <si>
    <t>VENCIDA</t>
  </si>
  <si>
    <t>00103</t>
  </si>
  <si>
    <t>Abatiá</t>
  </si>
  <si>
    <t>Jaguariaíva</t>
  </si>
  <si>
    <t>12009</t>
  </si>
  <si>
    <t>LEI Nº 2.439/2012</t>
  </si>
  <si>
    <t>Resíduos dos serviços públicos de saneamento básico, Resíduos de serviços de saúde, Resíduos da construção civil, Resíduos dos estabelecimentos comerciais e de prestação de serviços que geram resíduos perigosos ou resíduos que não sejam equiparados aos resíduos domiciliares</t>
  </si>
  <si>
    <t>Veículos para coleta seletiva de materiais recicláveis, Veículos para coleta de resíduos orgânicos provenientes de podas e jardinagem, Unidade de Triagem de Materiais Recicláveis, Unidade de Compostagem, Unidade de Transbordo, Ampliação ou adequação de aterro sanitário, Ecopontos ou Pontos de Entrega Voluntária</t>
  </si>
  <si>
    <t>-24.221754825136742, -49.654418697873936</t>
  </si>
  <si>
    <t>-24.59993392507752, -49.9881917951931</t>
  </si>
  <si>
    <t>LEI Nº 2.628/2016</t>
  </si>
  <si>
    <t>não dispomos das informações</t>
  </si>
  <si>
    <t>Eletroeletrônicos e seus componentes, Embalagens em geral, Pilhas e baterias portáteis, Pneus inservíveis, Móveis, colchões e demais resíduos volumosos</t>
  </si>
  <si>
    <t>Jandaia do Sul</t>
  </si>
  <si>
    <t>12108</t>
  </si>
  <si>
    <t>LEI N° 2760, DE 23 DE OUTUBRO DE 2014</t>
  </si>
  <si>
    <t>Veículos para coleta indiferenciada (convencional), Veículos para coleta seletiva de materiais recicláveis, Ecopontos ou Pontos de Entrega Voluntária, Equipamentos para a unidade de triagem de materiais recicláveis, Equipamentos para a unidade de compostagem</t>
  </si>
  <si>
    <t>estradas rurais, bota fora</t>
  </si>
  <si>
    <t>Trituração e compostagem dos resíduos verdes (provenientes de podas e jardinagem), Galpão de compostagem</t>
  </si>
  <si>
    <t>-23.618297, - 51.646374</t>
  </si>
  <si>
    <t>Estrada Velha para Marumbi, km 2</t>
  </si>
  <si>
    <t>Licença de operação (ampliação) n° 23.704.975-6</t>
  </si>
  <si>
    <t>codigo tributário lei n° 3.410/2021</t>
  </si>
  <si>
    <t>-23.618297, -51.646374</t>
  </si>
  <si>
    <t>vamos iniciar o encerramento da vala e recuperação da área a partir da próxima semana, ainda não temos o n° do protocolo</t>
  </si>
  <si>
    <t>Janiópolis</t>
  </si>
  <si>
    <t>12207</t>
  </si>
  <si>
    <t>Resíduos industriais, Resíduos de serviços de saúde, Resíduos dos estabelecimentos comerciais e de prestação de serviços que geram resíduos perigosos ou resíduos que não sejam equiparados aos resíduos domiciliares</t>
  </si>
  <si>
    <t>LEI ESTADUAL 237/2021</t>
  </si>
  <si>
    <t>ESTÁ EM FASE DE APROVAÇÃO</t>
  </si>
  <si>
    <t>Veículos para coleta indiferenciada (convencional), Veículos para coleta seletiva de materiais recicláveis, Veículos para coleta de resíduos orgânicos provenientes de podas e jardinagem, Unidade de Compostagem, Unidade de Transbordo, Equipamentos para a unidade de triagem de materiais recicláveis, Equipamentos para a unidade de compostagem</t>
  </si>
  <si>
    <t>Realiza coleta de pequenos geradores, Realiza coleta de grandes geradores</t>
  </si>
  <si>
    <t>LO Nº 209567-R1</t>
  </si>
  <si>
    <t>RODOVIA BR 272, KM 03, EM FRENTE AO ENTREPOSTO DA COAMO</t>
  </si>
  <si>
    <t>-24.1224347804615, -52.76089858944759</t>
  </si>
  <si>
    <t>ESTRADA SÃO JOSÉ - JARDIM SÃO CLEMENTE, MARINGÁ - PR</t>
  </si>
  <si>
    <t>Há canalização do gás,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t>
  </si>
  <si>
    <t>LC 92/2017</t>
  </si>
  <si>
    <t>1. Agrotóxicos, seus resíduos e embalagens - InpEV - Instituto Nacional de Processamento de Embalagens Vazias,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14. Óleo Lubrificante e Embalagens de óleos lubrificantes - Teclub Indústria e Comércio de Lubrificantes Ltda., 15. Perfurocortantes do GRUPO E, incluindo seringas e canetas injetoras - BHS Comércio e Serviços de Produtos para Saúde LTDA., 17. Pneus inservíveis - Associação RECICLANIP, 18. Produtos saneantes domissanitários desinfestantes - ABRASSAM - Associação Brasileira das Empresas Fabricantes de Produtos Saneantes Domissanitários Desinfestantes, ELETRONICOS COM EMPRESAS LICENCIADAS</t>
  </si>
  <si>
    <t>Japira</t>
  </si>
  <si>
    <t>12306</t>
  </si>
  <si>
    <t>Lei n. º 14.026, de 15 de julho de 2020</t>
  </si>
  <si>
    <t xml:space="preserve"> Lei Municipal n. 1.087/2014</t>
  </si>
  <si>
    <t xml:space="preserve">Área não licenciada próximo ao perímetro urbano </t>
  </si>
  <si>
    <t xml:space="preserve">Jaboti </t>
  </si>
  <si>
    <t xml:space="preserve"> 23°47'21.78"S     50° 5'25.83"O</t>
  </si>
  <si>
    <t xml:space="preserve">Pr 272 </t>
  </si>
  <si>
    <t xml:space="preserve">Processo de requerimento </t>
  </si>
  <si>
    <t xml:space="preserve"> Lei nº 012/2021</t>
  </si>
  <si>
    <t>Medicamentos de uso humano, Perfurocortantes do GRUPO E, incluindo seringas e canetas injetoras, Pneus inservíveis</t>
  </si>
  <si>
    <t>Japurá</t>
  </si>
  <si>
    <t>12405</t>
  </si>
  <si>
    <t xml:space="preserve">Saneamento Básico </t>
  </si>
  <si>
    <t>Lei 011/2018</t>
  </si>
  <si>
    <t>Veículos para coleta indiferenciada (convencional), Veículos para a coleta de resíduos orgânicos (sobras alimentares), Unidade de Transbordo, Ampliação ou adequação de aterro sanitário</t>
  </si>
  <si>
    <t>não atende</t>
  </si>
  <si>
    <t>japurá</t>
  </si>
  <si>
    <t>-23.400.557 e -52.551.071</t>
  </si>
  <si>
    <t>Estrada Açaí, Lote 203-C</t>
  </si>
  <si>
    <t>Há coleta de chorume, Há poços de monitoramento, Realiza a cobertura diária dos resíduos</t>
  </si>
  <si>
    <t>28.8178, valida até dia 26.01.2027</t>
  </si>
  <si>
    <t>Decreto 124/2023</t>
  </si>
  <si>
    <t>17. Pneus inservíveis - Associação RECICLANIP, Eletronicos Reciclados Sarandi</t>
  </si>
  <si>
    <t>Eletroeletrônicos e seus componentes, Medicamentos de uso humano, Medicamentos de uso veterinário, Pilhas e baterias portáteis, Pneus inservíveis, Móveis, colchões e demais resíduos volumosos</t>
  </si>
  <si>
    <t>Jardim Alegre</t>
  </si>
  <si>
    <t>12504</t>
  </si>
  <si>
    <t xml:space="preserve">Análise de Água, Aquisição de Equipamentos </t>
  </si>
  <si>
    <t xml:space="preserve">área com triagem, licenciado para podas e resíduos de varrição </t>
  </si>
  <si>
    <t>LAS nº176019</t>
  </si>
  <si>
    <t>Barra Preta</t>
  </si>
  <si>
    <t>-24.191209 -51.673472</t>
  </si>
  <si>
    <t>-23.594427 -51.463415</t>
  </si>
  <si>
    <t xml:space="preserve">Estr. Nova Ucrânia, 1500 - Núcleo Hab. Adriano Correia, Apucarana </t>
  </si>
  <si>
    <t>decreto 04/2025</t>
  </si>
  <si>
    <t>Pilhas e baterias portáteis</t>
  </si>
  <si>
    <t>-24.191691, -51.673474</t>
  </si>
  <si>
    <t>AA 54613</t>
  </si>
  <si>
    <t>Jardim Olinda</t>
  </si>
  <si>
    <t>12603</t>
  </si>
  <si>
    <t>Transbordo, Disposição final</t>
  </si>
  <si>
    <t>Lei 8.122017</t>
  </si>
  <si>
    <t>Lei 7122014</t>
  </si>
  <si>
    <t>Unidade de Compostagem, Ecopontos ou Pontos de Entrega Voluntária, Equipamentos para a unidade de triagem de materiais recicláveis</t>
  </si>
  <si>
    <t>LAS 	222.910</t>
  </si>
  <si>
    <t>RD PR 464</t>
  </si>
  <si>
    <t>-22.646456251858062, -52.08256080817242</t>
  </si>
  <si>
    <t>-23.47781166707928, -51.955638462459504</t>
  </si>
  <si>
    <t>RLO 256.451</t>
  </si>
  <si>
    <t>08957</t>
  </si>
  <si>
    <t>Guamiranga</t>
  </si>
  <si>
    <t>Jataizinho</t>
  </si>
  <si>
    <t>12702</t>
  </si>
  <si>
    <t>Consórcio Intermunicipal para o Desenvolvimento Econômico, social, educacional e cultural sustentável da Região Oeste do Estado do Paraná - Cidersop, Não participa de nenhum consórcio</t>
  </si>
  <si>
    <t>Possui norma, através do Plano Municipal de Gerenciamento de Resíduos Sólidos</t>
  </si>
  <si>
    <t>1.141/2019</t>
  </si>
  <si>
    <t>Unidade de Triagem de Materiais Recicláveis, Unidade de Compostagem, Ecopontos ou Pontos de Entrega Voluntária, Biogás</t>
  </si>
  <si>
    <t>Jardins públicos, Outro uso</t>
  </si>
  <si>
    <t>-23.4027546 -50.8448737,89</t>
  </si>
  <si>
    <t>SECCAO FIGUEIRA LOTES 135 A1 135 BA1 136 A1 S - Assaí PR</t>
  </si>
  <si>
    <t>Licença de Operação - 233695-R3</t>
  </si>
  <si>
    <t>Lei 1.141/2019</t>
  </si>
  <si>
    <t>1. Agrotóxicos, seus resíduos e embalagens - InpEV - Instituto Nacional de Processamento de Embalagens Vazias,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t>
  </si>
  <si>
    <t>Eletroeletrônicos e seus componentes, Medicamentos de uso humano, Pneus inservíveis</t>
  </si>
  <si>
    <t>-23.300771, -50.933264</t>
  </si>
  <si>
    <t>Jundiaí do Sul</t>
  </si>
  <si>
    <t>12900</t>
  </si>
  <si>
    <t>Cias Joaquim Távora</t>
  </si>
  <si>
    <t>Joaquim Távora</t>
  </si>
  <si>
    <t>Quatiguá</t>
  </si>
  <si>
    <t>592/2020</t>
  </si>
  <si>
    <t>410/2012</t>
  </si>
  <si>
    <t>Veículos para coleta seletiva de materiais recicláveis, Veículos para coleta de resíduos orgânicos provenientes de podas e jardinagem</t>
  </si>
  <si>
    <t>Aterro de Terrenos e outros</t>
  </si>
  <si>
    <t>Quatiguá Pr</t>
  </si>
  <si>
    <t>-23.541526 -50.4992477</t>
  </si>
  <si>
    <t>Joaquim Távora Pr</t>
  </si>
  <si>
    <t>Empresa privada (terceirizada), Gestão pública (via consórcio), Empresa privada (via consórcio), Consórcio</t>
  </si>
  <si>
    <t>Operação 238746-R2</t>
  </si>
  <si>
    <t>Incluso</t>
  </si>
  <si>
    <t>000000</t>
  </si>
  <si>
    <t>1. Agrotóxicos, seus resíduos e embalagens - InpEV - Instituto Nacional de Processamento de Embalagens Vazias, 9. Medicamentos de uso humano - BHS Comercio e Serviços de Produtos para Saúde LTDA.;, 12. Medicamentos de uso veterinário - BHS Comércio e Serviços de Produtos para Saúde LTDA, 15. Perfurocortantes do GRUPO E, incluindo seringas e canetas injetoras - BHS Comércio e Serviços de Produtos para Saúde LTDA., 17. Pneus inservíveis - Associação RECICLANIP</t>
  </si>
  <si>
    <t>-23.457116 -50.232797</t>
  </si>
  <si>
    <t>27908</t>
  </si>
  <si>
    <t>Tuneiras do Oeste</t>
  </si>
  <si>
    <t>Juranda</t>
  </si>
  <si>
    <t>12959</t>
  </si>
  <si>
    <t>2.634/2024</t>
  </si>
  <si>
    <t>2.085/2015</t>
  </si>
  <si>
    <t>juranda</t>
  </si>
  <si>
    <t>-24.44892265985003, -52.84290519683461</t>
  </si>
  <si>
    <t>Estrada Rural, Juranda</t>
  </si>
  <si>
    <t>em liberação nova vala</t>
  </si>
  <si>
    <t>848/2008</t>
  </si>
  <si>
    <t>8. Lâmpadas fluorescentes, de vapor de sódio e mercúrio e de luz mista - RECICLUS - Associação Brasileira para Gestão da Logística Reversa de Produtos de Iluminação;, Bio Acss</t>
  </si>
  <si>
    <t>Jussara</t>
  </si>
  <si>
    <t>13007</t>
  </si>
  <si>
    <t>JUSSARA</t>
  </si>
  <si>
    <t>RECICLAGEM UVR (ITAIPÚ) - COMPRAS COMPARTILHADAS</t>
  </si>
  <si>
    <t>NÃO HÁ ATERRO CONSORCIADO</t>
  </si>
  <si>
    <t>NÃO POSSUI.. EM FASE DE IMPLEMENTAÇÃO DO NOVO PGRS</t>
  </si>
  <si>
    <t>LEI MUNICIPAL Nº 1770/2020 DE 02/12/2020 - EM IMPLEMENTAÇÃO DE REVISÃO DO PMSB</t>
  </si>
  <si>
    <t>SOMENTE O PGRS, SEM LEI OU DECRETO</t>
  </si>
  <si>
    <t>SAMAE - AUTARQUIA MUNICIPAL</t>
  </si>
  <si>
    <t>Porta-a-porta, Pontos e entrega voluntária, COLETA PROGRAMADA EM SITIOS E FAZENDAS</t>
  </si>
  <si>
    <t>-23.59182094048621, -52.421200570664745</t>
  </si>
  <si>
    <t>ESTRADA VELHA MARINGÁ, LOTE 25-A - RURAL - GLEBA PATRIMONIO JUSSARA</t>
  </si>
  <si>
    <t>Autarquia</t>
  </si>
  <si>
    <t>Há impermeabilização no fundo e nas laterais (geomembrana), Há coleta de chorume, Há tratamento do chorume (IN 33/2025 e Portaria IAP 259/2014), Há poços de monitoramento, Realiza a cobertura diária dos resíduos, Realiza o monitoramento de corpos hídricos no entorno, HÁ VIGILANCIA PRESENCIAL DIÁRIA DIURNA NO ATERRO</t>
  </si>
  <si>
    <t>LICENÇA DE OPERAÇÃO 256264 - PROTOCOLO 17.841.642-1 VCTO 18/10/2025</t>
  </si>
  <si>
    <t>LEI 1614/2017</t>
  </si>
  <si>
    <t>Lâmpadas fluorescentes, de vapor de sódio e mercúrio e de luz mista, Medicamentos de uso humano, Perfurocortantes do GRUPO E, incluindo seringas e canetas injetoras, Pilhas e baterias portáteis, Pneus inservíveis, Móveis, colchões e demais resíduos volumosos</t>
  </si>
  <si>
    <t>Lapa</t>
  </si>
  <si>
    <t>13205</t>
  </si>
  <si>
    <t>Gestão de Resíduos Sólidos (Programa GRS) por meio da implementação, apoio e estruturação de unidades de referências em reciclagem - Expansão UVR”,</t>
  </si>
  <si>
    <t>Lei Municipal 3223 de 10 de maio de 2016</t>
  </si>
  <si>
    <t>Veículos para coleta indiferenciada (convencional), Veículos para coleta seletiva de materiais recicláveis, Veículos para coleta de resíduos orgânicos provenientes de podas e jardinagem, Unidade de Triagem de Materiais Recicláveis, Ecopontos ou Pontos de Entrega Voluntária</t>
  </si>
  <si>
    <t>Aterro sanitário, área de bota fora, ao lado do aterro sanitário municipal</t>
  </si>
  <si>
    <t xml:space="preserve">  623600.0 - 7149265.0</t>
  </si>
  <si>
    <t>Passa Dois s/n Estrada do Veadeiro</t>
  </si>
  <si>
    <t>LO nº 258380-R2</t>
  </si>
  <si>
    <t xml:space="preserve">1. Agrotóxicos, seus resíduos e embalagens - InpEV - Instituto Nacional de Processamento de Embalagens Vazias, 8. Lâmpadas fluorescentes, de vapor de sódio e mercúrio e de luz mista - RECICLUS - Associação Brasileira para Gestão da Logística Reversa de Produtos de Iluminação;, coleta de eletrônicos( empresa Sete Ambiental) </t>
  </si>
  <si>
    <t>-25.767267, -49.769079</t>
  </si>
  <si>
    <t>Laranjal</t>
  </si>
  <si>
    <t>13254</t>
  </si>
  <si>
    <t>Veículos para coleta indiferenciada (convencional), Veículos para coleta seletiva de materiais recicláveis, Veículos para coleta de resíduos orgânicos provenientes de podas e jardinagem, Veículos para a coleta de resíduos orgânicos (sobras alimentares), Unidade de Compostagem, Unidade de Transbordo, Ecopontos ou Pontos de Entrega Voluntária, Equipamentos para a unidade de triagem de materiais recicláveis, Equipamentos para a unidade de compostagem</t>
  </si>
  <si>
    <t>-24870456 -52415343</t>
  </si>
  <si>
    <t>Comunidade da Figueira sentido Chapadão</t>
  </si>
  <si>
    <t>Há impermeabilização no fundo e nas laterais (geomembrana), Há coleta de chorume, Há tratamento do chorume (IN 33/2025 e Portaria IAP 259/2014), Há poços de monitoramento, Realiza o monitoramento de corpos hídricos no entorno</t>
  </si>
  <si>
    <t>Embalagem de agrotoxico a empresa que vende da a destinação correta</t>
  </si>
  <si>
    <t>20705</t>
  </si>
  <si>
    <t>06001</t>
  </si>
  <si>
    <t>Congonhinhas</t>
  </si>
  <si>
    <t>Laranjeiras do Sul</t>
  </si>
  <si>
    <t>13304</t>
  </si>
  <si>
    <t>NÃO PARTICIPA DE CONSORCIO</t>
  </si>
  <si>
    <t>LARANJEIRAS DO SUL</t>
  </si>
  <si>
    <t>LEI 009/2023 (29/03/2023)</t>
  </si>
  <si>
    <t>Veículos para coleta seletiva de materiais recicláveis, Veículos para a coleta de resíduos orgânicos (sobras alimentares), Unidade de Triagem de Materiais Recicláveis, Equipamentos para a unidade de triagem de materiais recicláveis</t>
  </si>
  <si>
    <t>05</t>
  </si>
  <si>
    <t>RESPONSABILIDADE DO GERADOR</t>
  </si>
  <si>
    <t>ATERRO PRIVADO</t>
  </si>
  <si>
    <t>-25.463962 -52.413924</t>
  </si>
  <si>
    <t xml:space="preserve">PR 565 </t>
  </si>
  <si>
    <t>Há flare/queimador dos gases gerados, sem aproveitamento energético, Há impermeabilização no fundo e nas laterais (geomembrana), Há coleta de chorume, Há tratamento do chorume (IN 33/2025 e Portaria IAP 259/2014), Há poços de monitoramento, Realiza a cobertura diária dos resíduos, Realiza o monitoramento de corpos hídricos no entorno</t>
  </si>
  <si>
    <t>LICENÇA DE OPERAÇÃO</t>
  </si>
  <si>
    <t>-25.440471 -52.409870</t>
  </si>
  <si>
    <t>Lidianópolis</t>
  </si>
  <si>
    <t>13429</t>
  </si>
  <si>
    <t>NSA</t>
  </si>
  <si>
    <t>Plano Regional de Saneamento Básico, Não possui</t>
  </si>
  <si>
    <t>Veículos para coleta seletiva de materiais recicláveis, Veículos para coleta de resíduos orgânicos provenientes de podas e jardinagem, Veículos para a coleta de resíduos orgânicos (sobras alimentares), Equipamentos para a unidade de triagem de materiais recicláveis, Equipamentos para a unidade de compostagem</t>
  </si>
  <si>
    <t xml:space="preserve">LAS Nº 176020 </t>
  </si>
  <si>
    <t>PRT 466 (PR-082) - TRECHO LIDIANÓPOLIS - PORTO UBÁ - KM 4,0 S/N, ESTRADA VILA RURAL</t>
  </si>
  <si>
    <t>-24.075738; -51.649112</t>
  </si>
  <si>
    <t>APUCARANA</t>
  </si>
  <si>
    <t>-23.594965; -51.464002</t>
  </si>
  <si>
    <t>A EMPRESA POSSUI AS DEVIDAS LICENÇAS AMBIENTAIS.</t>
  </si>
  <si>
    <t>Lei 061/1993 alterado pela lei nº 1.137/2021</t>
  </si>
  <si>
    <t>1. Agrotóxicos, seus resíduos e embalagens - InpEV - Instituto Nacional de Processamento de Embalagens Vazias, 16. Pilhas e baterias portáteis - ABREE - Associação Brasileira de Reciclagem de Eletroeletrônicos e Eletrodomésticos, 17. Pneus inservíveis - Associação RECICLANIP, 16. Baterias Chumbo-Ácido - Associação Brasileira de Energia Sustentável – ABES</t>
  </si>
  <si>
    <t>-24.073856; -51.650089</t>
  </si>
  <si>
    <t>AUTORIZAÇÃO AMBIENTAL Nº 57650</t>
  </si>
  <si>
    <t>Lindoeste</t>
  </si>
  <si>
    <t>13452</t>
  </si>
  <si>
    <t>o municipio nao possui grandes geradores</t>
  </si>
  <si>
    <t>Lei 989/2016 art: 23 LM 900/2015</t>
  </si>
  <si>
    <t>Veículos para coleta indiferenciada (convencional), Veículos para coleta seletiva de materiais recicláveis, Veículos para a coleta de resíduos orgânicos (sobras alimentares), Unidade de Transbordo, Equipamentos para a unidade de triagem de materiais recicláveis, Equipamentos para a unidade de compostagem</t>
  </si>
  <si>
    <t>decreto nº083/2021</t>
  </si>
  <si>
    <t>local ambientalmente localizado</t>
  </si>
  <si>
    <t>cascavel</t>
  </si>
  <si>
    <t>24°58'58.5"S 53°17'36.1"</t>
  </si>
  <si>
    <t>Br277 aroeira cascavel pr</t>
  </si>
  <si>
    <t>las-328717</t>
  </si>
  <si>
    <t>lei nº941/2015 seçao I codico tributario municipal</t>
  </si>
  <si>
    <t>257435.49</t>
  </si>
  <si>
    <t>324093.03</t>
  </si>
  <si>
    <t>13502</t>
  </si>
  <si>
    <t xml:space="preserve">o Aterro pertence ao municipio Loanda </t>
  </si>
  <si>
    <t>lei ordinaria 62/2022</t>
  </si>
  <si>
    <t>Lei Ordinaria 55/2022</t>
  </si>
  <si>
    <t>Veículos para coleta seletiva de materiais recicláveis, Veículos para coleta de resíduos orgânicos provenientes de podas e jardinagem, Unidade de Compostagem, Ecopontos ou Pontos de Entrega Voluntária, Equipamentos para a unidade de compostagem</t>
  </si>
  <si>
    <t>nao e realizada coleta na area rural</t>
  </si>
  <si>
    <t>municipio nao coleta esse tipo de residuos</t>
  </si>
  <si>
    <t>aterro sanitario</t>
  </si>
  <si>
    <t xml:space="preserve"> 6 catadores da cooperativa</t>
  </si>
  <si>
    <t xml:space="preserve">Rodovia Loanda a Santa Cruz Monte Castelo - PR 182 </t>
  </si>
  <si>
    <t>Há flare/queimador dos gases gerados, sem aproveitamento energético, Há impermeabilização no fundo e nas laterais (geomembrana), Há poços de monitoramento, Realiza a cobertura diária dos resíduos</t>
  </si>
  <si>
    <t>decreto 178/2024</t>
  </si>
  <si>
    <t>o municipio nao coleta residuos pra enviar a logisica reversa</t>
  </si>
  <si>
    <t>Lobato</t>
  </si>
  <si>
    <t>13601</t>
  </si>
  <si>
    <t>Maringa</t>
  </si>
  <si>
    <t>Saneamento</t>
  </si>
  <si>
    <t>1370-2017</t>
  </si>
  <si>
    <t>Documento</t>
  </si>
  <si>
    <t>Veículos para coleta indiferenciada (convencional), Veículos para coleta seletiva de materiais recicláveis, Veículos para coleta de resíduos orgânicos provenientes de podas e jardinagem, Unidade de Triagem de Materiais Recicláveis, Unidade de Compostagem, Unidade de Transbordo, Ampliação ou adequação de aterro sanitário, Equipamentos para a unidade de triagem de materiais recicláveis, Equipamentos para a unidade de compostagem</t>
  </si>
  <si>
    <t>-23.472968536602302, -51.95588025767159</t>
  </si>
  <si>
    <t>Estr. São José, km 04 - lote 47 - Maringá, PR</t>
  </si>
  <si>
    <t>não sei informar</t>
  </si>
  <si>
    <t>Lei municipal nº 945/2026</t>
  </si>
  <si>
    <t>4. Instituto Rever;</t>
  </si>
  <si>
    <t>Pilhas e baterias portáteis, Móveis, colchões e demais resíduos volumosos</t>
  </si>
  <si>
    <t>13700</t>
  </si>
  <si>
    <t>Não consta</t>
  </si>
  <si>
    <t xml:space="preserve"> Decreto Municipal nº 1.001/2019</t>
  </si>
  <si>
    <t>Resíduos sólidos urbanos domiciliares para fins de coleta e destinação.</t>
  </si>
  <si>
    <t xml:space="preserve"> Lei Municipal nº 10.967/2010</t>
  </si>
  <si>
    <t>Lei Municipal 13.438/2022</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</si>
  <si>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Ampliação ou adequação de aterro sanitário, Ecopontos ou Pontos de Entrega Voluntária, Equipamentos para a unidade de triagem de materiais recicláveis, Equipamentos para a unidade de compostagem</t>
  </si>
  <si>
    <t>Decreto n°308/2019</t>
  </si>
  <si>
    <t>-23.453084,-51.0535978</t>
  </si>
  <si>
    <t>PR-218 - Maravilha, Londrina - PR</t>
  </si>
  <si>
    <t>Lei 7.303/1997</t>
  </si>
  <si>
    <t>277.61</t>
  </si>
  <si>
    <t>2. Baterias de chumbo ácido - IBER - Instituto Brasileiro de Energia Reciclável, 3. Eletroeletrônicos e seus componentes - ABREE - Associação Brasileira de Reciclagem de Eletroeletrônicos e Eletrodomésticos;, 4. Eletroeletrônicos e seus componentes - GREEN ELETRON - Gestora para Resíduos de Equipamentos Eletroeletrônicos Nacional, 6. Embalagens de aço (latas de tintas, etc.) - Prolata Recicladores e Associados, 8. Lâmpadas fluorescentes, de vapor de sódio e mercúrio e de luz mista - RECICLUS - Associação Brasileira para Gestão da Logística Reversa de Produtos de Iluminação;, 9. Medicamentos de uso humano - BHS Comercio e Serviços de Produtos para Saúde LTDA.;, 11. Medicamentos de uso humano - Sindusfarma - Sindicato da Indústria de Produtos Farmacêuticos, 12. Medicamentos de uso veterinário - BHS Comércio e Serviços de Produtos para Saúde LTDA, 13. Óleo Lubrificante e Embalagens de óleos lubrificantes - Instituto Jogue Limpo;, 15. Perfurocortantes do GRUPO E, incluindo seringas e canetas injetoras - BHS Comércio e Serviços de Produtos para Saúde LTDA., 17. Pneus inservíveis - Associação RECICLANIP, Baterias chumbo ácido</t>
  </si>
  <si>
    <t>-23.338814, -51.104905</t>
  </si>
  <si>
    <t>L.O 4/2021 SEMA MUNICIPAL</t>
  </si>
  <si>
    <t>03503</t>
  </si>
  <si>
    <t>Califórnia</t>
  </si>
  <si>
    <t>23709</t>
  </si>
  <si>
    <t>Santa Isabel do Ivaí</t>
  </si>
  <si>
    <t>09906</t>
  </si>
  <si>
    <t>Icaraíma</t>
  </si>
  <si>
    <t>22602</t>
  </si>
  <si>
    <t>Rondon</t>
  </si>
  <si>
    <t>Luiziana</t>
  </si>
  <si>
    <t>13734</t>
  </si>
  <si>
    <t>892/2027</t>
  </si>
  <si>
    <t>s/n</t>
  </si>
  <si>
    <t>Unidade de Compostagem, Ampliação ou adequação de aterro sanitário, Ecopontos ou Pontos de Entrega Voluntária, Equipamentos para a unidade de triagem de materiais recicláveis, Equipamentos para a unidade de compostagem</t>
  </si>
  <si>
    <t>Vermicompostagem, Outros</t>
  </si>
  <si>
    <t>-24.309150 -52.282787</t>
  </si>
  <si>
    <t>PR-553</t>
  </si>
  <si>
    <t>Há impermeabilização no fundo e nas laterais (geomembrana), Há coleta de chorume, Realiza a cobertura diária dos resíduos, RECIRCULAÇÃO DO CHORUME</t>
  </si>
  <si>
    <t>22.225.353-5</t>
  </si>
  <si>
    <t>242356.46</t>
  </si>
  <si>
    <t>149761.87</t>
  </si>
  <si>
    <t>100075.00</t>
  </si>
  <si>
    <t>92594.59</t>
  </si>
  <si>
    <t>Lâmpadas fluorescentes, de vapor de sódio e mercúrio e de luz mista, Pilhas e baterias portáteis, Pneus inservíveis</t>
  </si>
  <si>
    <t>Lunardelli</t>
  </si>
  <si>
    <t>13759</t>
  </si>
  <si>
    <t xml:space="preserve">pitanga </t>
  </si>
  <si>
    <t>lei 1.415/2024</t>
  </si>
  <si>
    <t>Veículos para coleta seletiva de materiais recicláveis, Veículos para a coleta de resíduos orgânicos (sobras alimentares), Unidade de Triagem de Materiais Recicláveis, Unidade de Transbordo, Equipamentos para a unidade de triagem de materiais recicláveis</t>
  </si>
  <si>
    <t>las 257100</t>
  </si>
  <si>
    <t>estrada do 22</t>
  </si>
  <si>
    <t>426708.8 - 7336766.0</t>
  </si>
  <si>
    <t>Trituração e compostagem dos resíduos verdes (provenientes de podas e jardinagem), Galpão de compostagem, Pátio de compostagem</t>
  </si>
  <si>
    <t>-23.59526351433221,-51.46350378708199</t>
  </si>
  <si>
    <t>estrada barra nova 1500</t>
  </si>
  <si>
    <t>LO -319148-R2</t>
  </si>
  <si>
    <t>lei 1.181/2018</t>
  </si>
  <si>
    <t>621,000,01</t>
  </si>
  <si>
    <t>24°05'13.8"S 51°44'58.8"W</t>
  </si>
  <si>
    <t>Lupionópolis</t>
  </si>
  <si>
    <t>13809</t>
  </si>
  <si>
    <t xml:space="preserve"> Lei Ordinária 23 2015 de Lupionópolis PR</t>
  </si>
  <si>
    <t>lei nº 12.305/2010</t>
  </si>
  <si>
    <t>Veículos para coleta seletiva de materiais recicláveis, Unidade de Compostagem, Equipamentos para a unidade de triagem de materiais recicláveis, Equipamentos para a unidade de compostagem</t>
  </si>
  <si>
    <t>LIXÃO MUNICIPAL</t>
  </si>
  <si>
    <t>-22.738389771996562, -51.65574810732237</t>
  </si>
  <si>
    <t>-23.39734835324036, -51.13092978003593</t>
  </si>
  <si>
    <t>Rodovia Celso Garcia Cid, Gleba, 12633, em Cafezal, Londrina, PR, CEP 86170-000</t>
  </si>
  <si>
    <t>Há canalização do gás, Há impermeabilização no fundo e nas laterais (geomembrana), Há coleta de chorume, Há tratamento do chorume (IN 33/2025 e Portaria IAP 259/2014), Há poços de monitoramento, Há sistema de detecção de vazamento do percolado sob a impermeabilização (IN 33/2025), Realiza o monitoramento de corpos hídricos no entorno</t>
  </si>
  <si>
    <t>Lei Municipal nº 12/2000</t>
  </si>
  <si>
    <t>-22.73847765633338, -51.6567066815689</t>
  </si>
  <si>
    <t>Mallet</t>
  </si>
  <si>
    <t>13908</t>
  </si>
  <si>
    <t>PMGIR's</t>
  </si>
  <si>
    <t>LEI MUNICIPAL 1523/2024</t>
  </si>
  <si>
    <t>LEI 1257/2015</t>
  </si>
  <si>
    <t>1593/2024</t>
  </si>
  <si>
    <t>Veículos para coleta seletiva de materiais recicláveis, Veículos para coleta de resíduos orgânicos provenientes de podas e jardinagem, Veículos para a coleta de resíduos orgânicos (sobras alimentares), Unidade de Triagem de Materiais Recicláveis, Unidade de Compostagem</t>
  </si>
  <si>
    <t>Pavimentação de estradas rurais</t>
  </si>
  <si>
    <t xml:space="preserve">Guarapuava </t>
  </si>
  <si>
    <t>-25.279242°S -51.539274°W</t>
  </si>
  <si>
    <t>Rodovia PR-466, Km 13 S/N Distrito, Guarapuava - PR</t>
  </si>
  <si>
    <t>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t>
  </si>
  <si>
    <t>Mamborê</t>
  </si>
  <si>
    <t>14005</t>
  </si>
  <si>
    <t>não se paliaca</t>
  </si>
  <si>
    <t>Decreto nº 95/015</t>
  </si>
  <si>
    <t>Lei Municipal nº 95/2013</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</si>
  <si>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Ampliação ou adequação de aterro sanitário, Ecopontos ou Pontos de Entrega Voluntária, Equipamentos para a unidade de triagem de materiais recicláveis, Equipamentos para a unidade de compostagem, Máquinas esclusivas para uso das áreas de Disposição e destinação final</t>
  </si>
  <si>
    <t>LAS Nº 337483</t>
  </si>
  <si>
    <t>PR 553 - ACESSO A BR 369 - AO LADO DA COAMO , S/Nº</t>
  </si>
  <si>
    <t>3435642 73136952</t>
  </si>
  <si>
    <t>3420342 73070996</t>
  </si>
  <si>
    <t>ESTRADA RURAL MAMBORÊ/GUARANI -  KM 05</t>
  </si>
  <si>
    <t>309107-R1</t>
  </si>
  <si>
    <t>Lei nº 39/1997</t>
  </si>
  <si>
    <t>1. Agrotóxicos, seus resíduos e embalagens - InpEV - Instituto Nacional de Processamento de Embalagens Vazias, 3. Eletroeletrônicos e seus componentes - ABREE - Associação Brasileira de Reciclagem de Eletroeletrônicos e Eletrodomésticos;,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13. Óleo Lubrificante e Embalagens de óleos lubrificantes - Instituto Jogue Limpo;, 16. Pilhas e baterias portáteis - ABREE - Associação Brasileira de Reciclagem de Eletroeletrônicos e Eletrodomésticos, 17. Pneus inservíveis - Associação RECICLANIP</t>
  </si>
  <si>
    <t>Mandaguari</t>
  </si>
  <si>
    <t>14203</t>
  </si>
  <si>
    <t>2.254/2013</t>
  </si>
  <si>
    <t>Lei 2492/2015</t>
  </si>
  <si>
    <t>Lei Complementar 237/2021</t>
  </si>
  <si>
    <t>Em Elaboração</t>
  </si>
  <si>
    <t>Não Coleta</t>
  </si>
  <si>
    <t>23° 33’16.25”S  51° 44’30.60”O</t>
  </si>
  <si>
    <t>Estrada Cambota Km 08</t>
  </si>
  <si>
    <t>Há impermeabilização no fundo e nas laterais (geomembrana), Há coleta de chorume, Há poços de monitoramento, Realiza a cobertura diária dos resíduos, Recirculação de Chorume</t>
  </si>
  <si>
    <t>Renovação</t>
  </si>
  <si>
    <t>Lei Municipal 2254/2013</t>
  </si>
  <si>
    <t>13. Instituto Loop</t>
  </si>
  <si>
    <t>Medicamentos de uso humano, Perfurocortantes do GRUPO E, incluindo seringas e canetas injetoras, Móveis, colchões e demais resíduos volumosos, Grupo A</t>
  </si>
  <si>
    <t xml:space="preserve">
23° 33’44.98”S   51° 39’46.50”O</t>
  </si>
  <si>
    <t>Manoel Ribas</t>
  </si>
  <si>
    <t>14500</t>
  </si>
  <si>
    <t>08/2012</t>
  </si>
  <si>
    <t>237/2021</t>
  </si>
  <si>
    <t>existe apenas o plano</t>
  </si>
  <si>
    <t>não realiza coleta e não há recebimento</t>
  </si>
  <si>
    <t>no próprio município</t>
  </si>
  <si>
    <t>-24.542112 -51.695813</t>
  </si>
  <si>
    <t xml:space="preserve">Rio do Salto </t>
  </si>
  <si>
    <t>LO176323396</t>
  </si>
  <si>
    <t>752090.65</t>
  </si>
  <si>
    <t>Lâmpadas fluorescentes, de vapor de sódio e mercúrio e de luz mista</t>
  </si>
  <si>
    <t>-24.523845 -51.682368</t>
  </si>
  <si>
    <t>Marechal Cândido Rondon</t>
  </si>
  <si>
    <t>14609</t>
  </si>
  <si>
    <t>Lei Municipal 4.819/2015</t>
  </si>
  <si>
    <t>LEI Nº 5.573/2025</t>
  </si>
  <si>
    <t>4699/2014</t>
  </si>
  <si>
    <t>Veículos para coleta seletiva de materiais recicláveis, Veículos para a coleta de resíduos orgânicos (sobras alimentares), Unidade de Triagem de Materiais Recicláveis, Unidade de Compostagem, Ampliação ou adequação de aterro sanitário, Ecopontos ou Pontos de Entrega Voluntária, Equipamentos para a unidade de triagem de materiais recicláveis, Equipamentos para a unidade de compostagem</t>
  </si>
  <si>
    <t>Recuperação de áreas degradadas</t>
  </si>
  <si>
    <t>Incentivo à compostagem doméstica, Trituração e compostagem dos resíduos verdes (provenientes de podas e jardinagem), Pátio de compostagem</t>
  </si>
  <si>
    <t>Arborização urbana, Jardins Públicos, Doados à população, Outra finalidade</t>
  </si>
  <si>
    <t>-24.450970018205496, -54.03861299190747</t>
  </si>
  <si>
    <t>Linha Neuhaus, Distrito de Novo Três Passos</t>
  </si>
  <si>
    <t>Não realiza triagem do indiferenciado</t>
  </si>
  <si>
    <t>Alíquota diferente para Industrial, comercial, residencial, distritos ou lotes vagos</t>
  </si>
  <si>
    <t>Lei Complementar Nº 26, DE 23 DE DEZEMBRO DE 2002</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</si>
  <si>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 Pilhas e baterias portáteis - Green Eletron</t>
  </si>
  <si>
    <t xml:space="preserve">-24.506122, -54.050893
</t>
  </si>
  <si>
    <t>Maria Helena</t>
  </si>
  <si>
    <t>14708</t>
  </si>
  <si>
    <t>2338.43'80"S  5312.75'70"O</t>
  </si>
  <si>
    <t>Estrada Perimetral</t>
  </si>
  <si>
    <t>Marialva</t>
  </si>
  <si>
    <t>14807</t>
  </si>
  <si>
    <t>Lei Municipal, Não possui</t>
  </si>
  <si>
    <t>Lei Ordinária 1967 de 29/12/2014</t>
  </si>
  <si>
    <t>Veículos para coleta indiferenciada (convencional), Veículos para coleta seletiva de materiais recicláveis, Veículos para coleta de resíduos orgânicos provenientes de podas e jardinagem, Unidade de Triagem de Materiais Recicláveis, Unidade de Compostagem, Unidade de Transbordo, Ampliação ou adequação de aterro sanitário, Ecopontos ou Pontos de Entrega Voluntária, Equipamentos para a unidade de triagem de materiais recicláveis, Equipamentos para a unidade de compostagem</t>
  </si>
  <si>
    <t>Utilizamos os RCC para manutenção do pátio e vias de acesso do Aterro Sanitário.</t>
  </si>
  <si>
    <t>-23.526911 -51.872819</t>
  </si>
  <si>
    <t>Rodovia PR 455, km 8</t>
  </si>
  <si>
    <t>Há canalização do gás, Há flare/queimador dos gases gerados, sem aproveitamento energético, Há impermeabilização no fundo e nas laterais (geomembrana), Há coleta de chorume, Realiza o monitoramento de corpos hídricos no entorno</t>
  </si>
  <si>
    <t>Em tramitação</t>
  </si>
  <si>
    <t>Lei nº8/2001</t>
  </si>
  <si>
    <t>Aterro próprio</t>
  </si>
  <si>
    <t>-23.486166 -51.783779</t>
  </si>
  <si>
    <t>Autorização Ambiental nº61821</t>
  </si>
  <si>
    <t>Marilândia do Sul</t>
  </si>
  <si>
    <t>14906</t>
  </si>
  <si>
    <t xml:space="preserve">Nao participa de consórcio </t>
  </si>
  <si>
    <t>010/2006</t>
  </si>
  <si>
    <t>091/2011</t>
  </si>
  <si>
    <t>Temos aterro sanitário</t>
  </si>
  <si>
    <t>-23.776396, -51.285669</t>
  </si>
  <si>
    <t>Estrada Placa da Areia</t>
  </si>
  <si>
    <t>Licença de operação - 321148</t>
  </si>
  <si>
    <t>003/2017</t>
  </si>
  <si>
    <t>243887.68</t>
  </si>
  <si>
    <t>188.07</t>
  </si>
  <si>
    <t>4.54</t>
  </si>
  <si>
    <t>8.77</t>
  </si>
  <si>
    <t>227.39</t>
  </si>
  <si>
    <t>-23.751835, -51.284843</t>
  </si>
  <si>
    <t>Marilena</t>
  </si>
  <si>
    <t>15002</t>
  </si>
  <si>
    <t>LOANDA</t>
  </si>
  <si>
    <t>APOIO</t>
  </si>
  <si>
    <t>em andamento</t>
  </si>
  <si>
    <t>LAS 35243</t>
  </si>
  <si>
    <t>AS margens da PR-569 S/N</t>
  </si>
  <si>
    <t>UTM (E-N) 22K, 292885.80 - 748296.40.</t>
  </si>
  <si>
    <t>latitude -22.9201866 longitude -53.1732896</t>
  </si>
  <si>
    <t>Estrada rural s/n Loanda PR</t>
  </si>
  <si>
    <t>Há coleta de chorume, Realiza a cobertura diária dos resíduos</t>
  </si>
  <si>
    <t>lei 2059/2022</t>
  </si>
  <si>
    <t>292885.80 - 7482967.40</t>
  </si>
  <si>
    <t>15101</t>
  </si>
  <si>
    <t>Mariluz</t>
  </si>
  <si>
    <t>15200</t>
  </si>
  <si>
    <t>Decreto Municipal n° 1749/2017</t>
  </si>
  <si>
    <t>Resíduos industriais, Resíduos da construção civil, Resíduos dos estabelecimentos comerciais e de prestação de serviços que geram resíduos perigosos ou resíduos que não sejam equiparados aos resíduos domiciliares, Resíduos agrossilvopastoris, Resíduos de mineração</t>
  </si>
  <si>
    <t>Audiência Pública N° 1, 28/12/2022.</t>
  </si>
  <si>
    <t>Lei 10.454, 20/07/2017.</t>
  </si>
  <si>
    <t>Decreto n° 2446/2022</t>
  </si>
  <si>
    <t>Não é realizada coleta na área rural.</t>
  </si>
  <si>
    <t>Município possui um aterro particular dentro dos limites da cidade.</t>
  </si>
  <si>
    <t xml:space="preserve">-23.4205 -51.933 </t>
  </si>
  <si>
    <t>não realiza.</t>
  </si>
  <si>
    <t>Licença de Operação - 25645-R1</t>
  </si>
  <si>
    <t>Lei Complementar n° 1.474/2024</t>
  </si>
  <si>
    <t>1. Agrotóxicos, seus resíduos e embalagens - InpEV - Instituto Nacional de Processamento de Embalagens Vazias, 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8. Lâmpadas fluorescentes, de vapor de sódio e mercúrio e de luz mista - RECICLUS - Associação Brasileira para Gestão da Logística Reversa de Produtos de Iluminação;, 17. Pneus inservíveis - Associação RECICLANIP</t>
  </si>
  <si>
    <t>-23.481856 -51.962152</t>
  </si>
  <si>
    <t>Mariópolis</t>
  </si>
  <si>
    <t>15309</t>
  </si>
  <si>
    <t>Não participa de Consórcio</t>
  </si>
  <si>
    <t>RESOLUÇÃO Nº003/MRAE-3/2024 – MICRORREGIÃO OESTE</t>
  </si>
  <si>
    <t>Lei 21 de 2024</t>
  </si>
  <si>
    <t>Chapecó</t>
  </si>
  <si>
    <t>-27.167005°   -52.577251°</t>
  </si>
  <si>
    <t>Acesso Ângelo Baldissera, Chácara 20, KM 05, Água Amarela - Pres. Medici, Chapecó - SC, 89801-970</t>
  </si>
  <si>
    <t>Há flare/queimador dos gases gerados, sem aproveitamento energético, Há impermeabilização no fundo e nas laterais (geomembrana), Há tratamento do chorume (IN 33/2025 e Portaria IAP 259/2014), Há poços de monitoramento, Há sistema de detecção de vazamento do percolado sob a impermeabilização (IN 33/2025), Realiza o monitoramento de corpos hídricos no entorno</t>
  </si>
  <si>
    <t>Licença Ambiental de Operação - Nº 5727/2022</t>
  </si>
  <si>
    <t>72/2009</t>
  </si>
  <si>
    <t>Maripá</t>
  </si>
  <si>
    <t>15358</t>
  </si>
  <si>
    <t>Coleta e Transporte, Triagem, Transbordo</t>
  </si>
  <si>
    <t>PALOTINA</t>
  </si>
  <si>
    <t xml:space="preserve"> 1.121/2017</t>
  </si>
  <si>
    <t>MANUTENÇÃO DE ESTRADAS RURAIS</t>
  </si>
  <si>
    <t>LAS nº285008</t>
  </si>
  <si>
    <t>MR-221</t>
  </si>
  <si>
    <t>-24.42535025192647, -53.867772881071396</t>
  </si>
  <si>
    <t>CASCAVEL</t>
  </si>
  <si>
    <t>-24.983784°  -53.296107°</t>
  </si>
  <si>
    <t>BR-277 - KM 573 PARTE DO LOTE DE TERRAS INDUSTRIAL 101-A/ FAZENDA SAO DOMINGOS, Situação CEP: 85.819-000 - Bairro: ÁREA RURAL Emitida Município: CASCAVEL - PARANÁ</t>
  </si>
  <si>
    <t>Há canalização do gás, Há aproveitamento energético do gás gerado (geradores), Há impermeabilização no fundo e nas laterais (geomembrana), Há tratamento do chorume (IN 33/2025 e Portaria IAP 259/2014), Realiza a cobertura diária dos resíduos</t>
  </si>
  <si>
    <t>Licença de Operação 274599-R2</t>
  </si>
  <si>
    <t>Lei  complementar 25 de 16 de Dezembro de 2025</t>
  </si>
  <si>
    <t>-24.42548248323441, -53.86880448052869</t>
  </si>
  <si>
    <t>Marmeleiro</t>
  </si>
  <si>
    <t>15408</t>
  </si>
  <si>
    <t>AQUISIÇÃO DE EQUIPAMENTOS</t>
  </si>
  <si>
    <t>2923/2024</t>
  </si>
  <si>
    <t>LEI Nº 2.923, DE 17 DE MAIO DE 2024</t>
  </si>
  <si>
    <t>não há coleta indiferenciada</t>
  </si>
  <si>
    <t>não há informações</t>
  </si>
  <si>
    <t>CHAPECÓ - SC</t>
  </si>
  <si>
    <t>-27.1639163267064, -52.57936802883579</t>
  </si>
  <si>
    <t>694940.16</t>
  </si>
  <si>
    <t>1882186.6</t>
  </si>
  <si>
    <t>298.31</t>
  </si>
  <si>
    <t>UTM FUSO 22J - Latitude: 294436.00 m E / Longitude: 7105183.00 m</t>
  </si>
  <si>
    <t>Marquinho</t>
  </si>
  <si>
    <t>15457</t>
  </si>
  <si>
    <t>MARQUINHO</t>
  </si>
  <si>
    <t>lotes para aterramento</t>
  </si>
  <si>
    <t>LARANEIRAS DO SUL</t>
  </si>
  <si>
    <t>LARANJEIRAS DO SUL - PR.</t>
  </si>
  <si>
    <t>SECRETARIA MUNICIPAL DE AGRICULTURA E MEIO AMBIENTE</t>
  </si>
  <si>
    <t>Marumbi</t>
  </si>
  <si>
    <t>15507</t>
  </si>
  <si>
    <t>maringa</t>
  </si>
  <si>
    <t>831/2022</t>
  </si>
  <si>
    <t>671/2016</t>
  </si>
  <si>
    <t>Veículos para coleta indiferenciada (convencional), Veículos para coleta seletiva de materiais recicláveis, Unidade de Transbordo, Ecopontos ou Pontos de Entrega Voluntária</t>
  </si>
  <si>
    <t>marumbi</t>
  </si>
  <si>
    <t>-23.723991, -51.632400</t>
  </si>
  <si>
    <t>-23.594890, -51.463450</t>
  </si>
  <si>
    <t>Triagem mecanizada, Não realiza.</t>
  </si>
  <si>
    <t>licença de operação 319148</t>
  </si>
  <si>
    <t>804/2021</t>
  </si>
  <si>
    <t>4. Eletroeletrônicos e seus componentes - GREEN ELETRON - Gestora para Resíduos de Equipamentos Eletroeletrônicos Nacional, 6. Embalagens de aço (latas de tintas, etc.) - Prolata Recicladores e Associados, 8. Lâmpadas fluorescentes, de vapor de sódio e mercúrio e de luz mista - RECICLUS - Associação Brasileira para Gestão da Logística Reversa de Produtos de Iluminação;, 17. Pneus inservíveis - Associação RECICLANIP</t>
  </si>
  <si>
    <t xml:space="preserve">-23.731080, -51.634010
</t>
  </si>
  <si>
    <t>Matelândia</t>
  </si>
  <si>
    <t>15606</t>
  </si>
  <si>
    <t>Vera Cruz do Oeste</t>
  </si>
  <si>
    <t xml:space="preserve">Serviços de licenciamentos ambientais </t>
  </si>
  <si>
    <t>Lei Municipal 4282/2019</t>
  </si>
  <si>
    <t>Lei Municipal 4203/2019</t>
  </si>
  <si>
    <t>Veículos para coleta seletiva de materiais recicláveis, Unidade de Triagem de Materiais Recicláveis, Unidade de Compostagem, Ampliação ou adequação de aterro sanitário, Ecopontos ou Pontos de Entrega Voluntária, Equipamentos para a unidade de triagem de materiais recicláveis, Equipamentos para a unidade de compostagem</t>
  </si>
  <si>
    <t>o morador que dá o destino na propriedade.</t>
  </si>
  <si>
    <t xml:space="preserve">Pequenos aterros de propriedade de particulares </t>
  </si>
  <si>
    <t>-25.234534, -53.943013</t>
  </si>
  <si>
    <t>Estrala linha Giasson</t>
  </si>
  <si>
    <t>Há canalização do gás, Há impermeabilização no fundo e nas laterais (geomembrana), Há coleta de chorume, Há poços de monitoramento</t>
  </si>
  <si>
    <t>LPA 306503</t>
  </si>
  <si>
    <t>Valor fixo por imóvel., Características dos lotes (dimensões, área edificável, localização, potencial construtivo, etc.), Consumo de água, Frequência de coleta</t>
  </si>
  <si>
    <t xml:space="preserve">A área foi encerrada via TAC do MP. Era uma área de bota fora </t>
  </si>
  <si>
    <t>00301</t>
  </si>
  <si>
    <t>Agudos do Sul</t>
  </si>
  <si>
    <t>Matinhos</t>
  </si>
  <si>
    <t>15705</t>
  </si>
  <si>
    <t>PONTAL DO PARANA</t>
  </si>
  <si>
    <t>1729/2014</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</si>
  <si>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t>
  </si>
  <si>
    <t>NAO COLETAMOS</t>
  </si>
  <si>
    <t>LAS Nº 174158</t>
  </si>
  <si>
    <t>CIAS -PONTAL DO PARANA</t>
  </si>
  <si>
    <t>-25.698295539801503, -48.502026869311955</t>
  </si>
  <si>
    <t>CIAS - PONTAL DO PARANA</t>
  </si>
  <si>
    <t>Há canalização do gás, Há tratamento do chorume (IN 33/2025 e Portaria IAP 259/2014), Há poços de monitoramento</t>
  </si>
  <si>
    <t>LEI MUNICIPAL  679/2021</t>
  </si>
  <si>
    <t>193,00/TONELADA</t>
  </si>
  <si>
    <t>53,00/TONELADA</t>
  </si>
  <si>
    <t>246.00/TONELADA</t>
  </si>
  <si>
    <t>230,00/TONELADA</t>
  </si>
  <si>
    <t>21000</t>
  </si>
  <si>
    <t>Querência do Norte</t>
  </si>
  <si>
    <t>Mato Rico</t>
  </si>
  <si>
    <t>15739</t>
  </si>
  <si>
    <t>Lei 4412013</t>
  </si>
  <si>
    <t>Lei 441/2013</t>
  </si>
  <si>
    <t>Lei 636/2022</t>
  </si>
  <si>
    <t>Veículos para coleta indiferenciada (convencional), Veículos para coleta seletiva de materiais recicláveis, Unidade de Triagem de Materiais Recicláveis, Equipamentos para a unidade de triagem de materiais recicláveis</t>
  </si>
  <si>
    <t>aterrar para construção</t>
  </si>
  <si>
    <t>385180.00 m E 7265367.00 m S</t>
  </si>
  <si>
    <t>ESTRADA PARA BARRA BONITA, KM 3, S/N, ATERRO SANITÁRIO</t>
  </si>
  <si>
    <t>Há impermeabilização no fundo e nas laterais (geomembrana), Há coleta de chorume, Há tratamento do chorume (IN 33/2025 e Portaria IAP 259/2014), Há poços de monitoramento, Realiza a cobertura diária dos resíduos, Realiza o monitoramento de corpos hídricos no entorno</t>
  </si>
  <si>
    <t>" não há"</t>
  </si>
  <si>
    <t>04451</t>
  </si>
  <si>
    <t>Cantagalo</t>
  </si>
  <si>
    <t>Mauá da Serra</t>
  </si>
  <si>
    <t>15754</t>
  </si>
  <si>
    <t>não ah</t>
  </si>
  <si>
    <t>Lei 630/2014</t>
  </si>
  <si>
    <t>Lei 784/2021</t>
  </si>
  <si>
    <t>botafora</t>
  </si>
  <si>
    <t>LO nº 253633-R2</t>
  </si>
  <si>
    <t>Av Ponta Grossa, 480 maua da serra pr</t>
  </si>
  <si>
    <t>479790.0 - 7356560.0</t>
  </si>
  <si>
    <t>maua da serra</t>
  </si>
  <si>
    <t>479790 - 7356560</t>
  </si>
  <si>
    <t>Gleba Colonia Fugi Lote Rural Nº 35 ao 40</t>
  </si>
  <si>
    <t>LO 254306/R2</t>
  </si>
  <si>
    <t>Metragem do Imovel/quantidade de vezes que a coleta passa.</t>
  </si>
  <si>
    <t>Lei Complementar 001/2009</t>
  </si>
  <si>
    <t>ampara</t>
  </si>
  <si>
    <t>12751</t>
  </si>
  <si>
    <t>Jesuítas</t>
  </si>
  <si>
    <t>Mercedes</t>
  </si>
  <si>
    <t>15853</t>
  </si>
  <si>
    <t>ASSIS</t>
  </si>
  <si>
    <t>Coleta e Transporte, Disposição final, Nenhuma, AINDA NÃO ESTÁ FUNCIONANDO</t>
  </si>
  <si>
    <t>CASCAVEL PARANÁ AMBIENTAL</t>
  </si>
  <si>
    <t>Não possui, SEGUE A ORIENTAÇÃO ESTADUAL</t>
  </si>
  <si>
    <t>NAO POSSUO</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</si>
  <si>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de serviços de transportes, Resíduos agrossilvopastoris, Resíduos de mineração, O município não exige Plano de Gerenciamento de Resíduos Sólidos</t>
  </si>
  <si>
    <t>064/2013, DE 17 DEZEMBRO DE 2013.</t>
  </si>
  <si>
    <t>1457/2017, DE 27 DE JULHO DE 2017.</t>
  </si>
  <si>
    <t>segue o plano diretor</t>
  </si>
  <si>
    <t>-24.983813862177623, -53.296367101028515</t>
  </si>
  <si>
    <t>aroiera cascavel sem numero</t>
  </si>
  <si>
    <t>274599r2</t>
  </si>
  <si>
    <t>54/1993</t>
  </si>
  <si>
    <t>8. Lâmpadas fluorescentes, de vapor de sódio e mercúrio e de luz mista - RECICLUS - Associação Brasileira para Gestão da Logística Reversa de Produtos de Iluminação;, 9. Medicamentos de uso humano - BHS Comercio e Serviços de Produtos para Saúde LTDA.;</t>
  </si>
  <si>
    <t>Baterias de chumbo ácido, Eletroeletrônicos e seus componentes, Embalagens de aço, Embalagens de papel, Embalagens em geral, Lâmpadas fluorescentes, de vapor de sódio e mercúrio e de luz mista, Pilhas e baterias portáteis, Pneus inservíveis, Produtos saneantes domissanitários desinfestantes, Móveis, colchões e demais resíduos volumosos</t>
  </si>
  <si>
    <t>Mirador</t>
  </si>
  <si>
    <t>15903</t>
  </si>
  <si>
    <t>Lei N° 0528/2021</t>
  </si>
  <si>
    <t>Lei N° 177/2012</t>
  </si>
  <si>
    <t>Lei n° 0528/2021</t>
  </si>
  <si>
    <t>Veículos para coleta seletiva de materiais recicláveis, Veículos para coleta de resíduos orgânicos provenientes de podas e jardinagem, Veículos para a coleta de resíduos orgânicos (sobras alimentares)</t>
  </si>
  <si>
    <t>Bota Fora</t>
  </si>
  <si>
    <t>não Há</t>
  </si>
  <si>
    <t>Gleba Patrimônio Sumaré - lote 34, Aterro Sanitário de Paranavaí S/N</t>
  </si>
  <si>
    <t>N° 307053-R2 LO</t>
  </si>
  <si>
    <t>-23.243767, -52.768649</t>
  </si>
  <si>
    <t>Miraselva</t>
  </si>
  <si>
    <t>16000</t>
  </si>
  <si>
    <t>Coleta e Transporte, Tratamento, Disposição final</t>
  </si>
  <si>
    <t>Lei nº609/2019</t>
  </si>
  <si>
    <t>Veículos para coleta seletiva de materiais recicláveis, Unidade de Triagem de Materiais Recicláveis, Unidade de Transbordo, Ecopontos ou Pontos de Entrega Voluntária, Equipamentos para a unidade de triagem de materiais recicláveis</t>
  </si>
  <si>
    <t>Localizado na Colônia Centenário, Município de Miraselva Comarca de Porecatu, com a denominação de "FAZENDA NOSSA SENHORA DAS GRAÇÃS - GLEBA B" MATRÍCULA Nº 463.</t>
  </si>
  <si>
    <t>22°58'51"S 51°30'05"W</t>
  </si>
  <si>
    <t>23°23'46"S 51°07'51"W</t>
  </si>
  <si>
    <t>Rod. Celso Garcia Cid, 12633. - Zona Rural, Londrina - PR</t>
  </si>
  <si>
    <t>Há canalização do gás, Há flare/queimador dos gases gerados, sem aproveitamento energético, Há impermeabilização no fundo e nas laterais (geomembrana), Há coleta de chorume, Há tratamento do chorume (IN 33/2025 e Portaria IAP 259/2014), Há poços de monitoramento, Há sistema de detecção de vazamento do percolado sob a impermeabilização (IN 33/2025), Realiza o monitoramento de corpos hídricos no entorno</t>
  </si>
  <si>
    <t>Biodigestão</t>
  </si>
  <si>
    <t>LO-178262-R1</t>
  </si>
  <si>
    <t>Lei nº 537/2015</t>
  </si>
  <si>
    <t>Eletroeletrônicos e seus componentes, Embalagens de aço, Embalagens de papel, Embalagens em geral, Medicamentos de uso humano, Medicamentos de uso veterinário, Perfurocortantes do GRUPO E, incluindo seringas e canetas injetoras, Pilhas e baterias portáteis, Pneus inservíveis, Produtos saneantes domissanitários desinfestantes, Móveis, colchões e demais resíduos volumosos</t>
  </si>
  <si>
    <t>22°58'52"S 51°30'04"W</t>
  </si>
  <si>
    <t>Missal</t>
  </si>
  <si>
    <t>16059</t>
  </si>
  <si>
    <t>CIDERSOP</t>
  </si>
  <si>
    <t>VERA CRUZ DO OESTE</t>
  </si>
  <si>
    <t>OBRAS E PAVIMENTAÇÕES</t>
  </si>
  <si>
    <t>Lei nº1645, de 14 de fevereiro de 2022</t>
  </si>
  <si>
    <t>LEI Nº 1340 DE 18 DE MAIO DE 2016</t>
  </si>
  <si>
    <t>Lei nº 1645 de 14 de fevereiro de 2022</t>
  </si>
  <si>
    <t>Veículos para coleta indiferenciada (convencional), Veículos para coleta seletiva de materiais recicláveis, Veículos para a coleta de resíduos orgânicos (sobras alimentares), Ecopontos ou Pontos de Entrega Voluntária</t>
  </si>
  <si>
    <t>LEI Nº1.595, DE 21 DE JUNHO DE 2021</t>
  </si>
  <si>
    <t>EMPRESA PRIVADA</t>
  </si>
  <si>
    <t>-25.091867, -54.271958</t>
  </si>
  <si>
    <t>LINHA DOIS PINHEIROS</t>
  </si>
  <si>
    <t>LICENÇA DE OPERAÇÃO, 218010-R1</t>
  </si>
  <si>
    <t>LEI 1.552 DE 2020</t>
  </si>
  <si>
    <t>55.92</t>
  </si>
  <si>
    <t>526.61</t>
  </si>
  <si>
    <t>130027.00</t>
  </si>
  <si>
    <t>Agrotóxicos, seus resíduos e embalagens, Baterias de chumbo ácido, Lâmpadas fluorescentes, de vapor de sódio e mercúrio e de luz mista, Medicamentos de uso veterinário, Pneus inservíveis</t>
  </si>
  <si>
    <t>Moreira Sales</t>
  </si>
  <si>
    <t>16109</t>
  </si>
  <si>
    <t>GESTÃO MUNICIPAL 2013/2016</t>
  </si>
  <si>
    <t>Veículos para coleta indiferenciada (convencional), Veículos para coleta seletiva de materiais recicláveis, Veículos para coleta de resíduos orgânicos provenientes de podas e jardinagem, Unidade de Triagem de Materiais Recicláveis, Ampliação ou adequação de aterro sanitário</t>
  </si>
  <si>
    <t>Área de triagem e transbordo de RCC, FICAM EM UMA AREA RESERVADA AO LADO DO ATERRO.</t>
  </si>
  <si>
    <t>Trituração e compostagem em leiras, Aterro Sanitário, Outros</t>
  </si>
  <si>
    <t>MOREIRA SALES É O MUNICIPIO MESMO</t>
  </si>
  <si>
    <t>-24.052687 -53.039666</t>
  </si>
  <si>
    <t>MARGEM DA RODOVIIA RODOVIA PR-468, A 3KM DE DO MUNICIPIO</t>
  </si>
  <si>
    <t>LO - 338029</t>
  </si>
  <si>
    <t>Lei 395 / 2008</t>
  </si>
  <si>
    <t>Morretes</t>
  </si>
  <si>
    <t>16208</t>
  </si>
  <si>
    <t>Lei 859/2024</t>
  </si>
  <si>
    <t>Resíduos dos serviços públicos de saneamento básico, Resíduos industriais, Resíduos dos estabelecimentos comerciais e de prestação de serviços que geram resíduos perigosos ou resíduos que não sejam equiparados aos resíduos domiciliares</t>
  </si>
  <si>
    <t>Lei Complementar 237 - 09 de Julho de 2021</t>
  </si>
  <si>
    <t>Paranaguá</t>
  </si>
  <si>
    <t>-25.53218165398067, -48.66637637301177</t>
  </si>
  <si>
    <t>Estr. do Rio das Pedras, S/N - Alexandra, Paranaguá - PR, 83250-000, Brasil</t>
  </si>
  <si>
    <t>LO 16.324+</t>
  </si>
  <si>
    <t>Lei Complementar nº 30/2002</t>
  </si>
  <si>
    <t>-25.457716735816362, -48.823049214777704</t>
  </si>
  <si>
    <t>07900</t>
  </si>
  <si>
    <t>Floresta</t>
  </si>
  <si>
    <t>Munhoz de Melo</t>
  </si>
  <si>
    <t>16307</t>
  </si>
  <si>
    <t>não tem</t>
  </si>
  <si>
    <t>1528/2015</t>
  </si>
  <si>
    <t>Deposito temporario</t>
  </si>
  <si>
    <t>RLO282578</t>
  </si>
  <si>
    <t>Rodovia munhoz/ Astorga km 1500 mts</t>
  </si>
  <si>
    <t>23º095980´´S  51º463679``O</t>
  </si>
  <si>
    <t>09</t>
  </si>
  <si>
    <t>Há canalização do gás, Há flare/queimador dos gases gerados, sem aproveitamento energético, Há aproveitamento energético do gás gerado (geradores),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 Nenhuma das opções anteriores são feitas</t>
  </si>
  <si>
    <t>23º095980S  51º463676``O</t>
  </si>
  <si>
    <t>Nossa Senhora das Graças</t>
  </si>
  <si>
    <t>16406</t>
  </si>
  <si>
    <t>lei 724/2014</t>
  </si>
  <si>
    <t>área de recuperação</t>
  </si>
  <si>
    <t>-23.340531, -51.904738</t>
  </si>
  <si>
    <t>Copacabana Res., Maringa PR</t>
  </si>
  <si>
    <t>Empresa licenciada</t>
  </si>
  <si>
    <t>Lei nº 424/2001</t>
  </si>
  <si>
    <t>-22.923996, -51.797982</t>
  </si>
  <si>
    <t>protocolo IAt 17.630.727-7</t>
  </si>
  <si>
    <t>Nova Aliança do Ivaí</t>
  </si>
  <si>
    <t>16505</t>
  </si>
  <si>
    <t>Coleta e Transporte</t>
  </si>
  <si>
    <t>Segue as diretrizes do Consórcio CICA e da legislação federal vigente (Lei nº 12.305/2010).</t>
  </si>
  <si>
    <t>O município não possui PMGIRS próprio, mas segue o plano regional elaborado pelo Consórcio CICA, que contempla a necessidade de estruturas como unidade de triagem, coleta seletiva e unidade de transbordo para ampliar a gestão dos resíduos sólidos urbanos (RSU).</t>
  </si>
  <si>
    <t>-23.1054831  -52.4074481,499</t>
  </si>
  <si>
    <t>aterro sanitário - Glebal patrimônio Sumaré, Lote 34 - Sumaré, Paranavaí - PR, 87700-000</t>
  </si>
  <si>
    <t>Não temos conhecimento,pois é realizado pelo consórcio</t>
  </si>
  <si>
    <t>"não há"</t>
  </si>
  <si>
    <t>Lei Complementar N°155/2015</t>
  </si>
  <si>
    <t>6.600,00.</t>
  </si>
  <si>
    <t>Não é possível informar o custo detalhado, pois o serviço é contratado por meio de valor total de R$ 6.600,00.</t>
  </si>
  <si>
    <t>4. Eletroeletrônicos e seus componentes - GREEN ELETRON - Gestora para Resíduos de Equipamentos Eletroeletrônicos Nacional, 9. Medicamentos de uso humano - BHS Comercio e Serviços de Produtos para Saúde LTDA.;</t>
  </si>
  <si>
    <t>Não há"</t>
  </si>
  <si>
    <t>20002</t>
  </si>
  <si>
    <t>Porecatu</t>
  </si>
  <si>
    <t>08007</t>
  </si>
  <si>
    <t>Florestópolis</t>
  </si>
  <si>
    <t>16703</t>
  </si>
  <si>
    <t xml:space="preserve">Não participa de nenhum consórcio </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</si>
  <si>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de serviços de transportes, Resíduos de mineração</t>
  </si>
  <si>
    <t>Plano Municipal de Saneamento Básico, Em andamento</t>
  </si>
  <si>
    <t>Nº 1470/2011</t>
  </si>
  <si>
    <t>1590/2013</t>
  </si>
  <si>
    <t>Veículos para coleta seletiva de materiais recicláveis, Veículos para coleta de resíduos orgânicos provenientes de podas e jardinagem, Veículos para a coleta de resíduos orgânicos (sobras alimentares), Unidade de Compostagem, Ecopontos ou Pontos de Entrega Voluntária, Equipamentos para a unidade de triagem de materiais recicláveis, Ampliação da infraestrutura da UVR, como: Lavanderia, refeitório, sala de reuniões.</t>
  </si>
  <si>
    <t>Construção em andamento, Em processo de licenciamento</t>
  </si>
  <si>
    <t xml:space="preserve">Estrada água do Jeep, S/Nº -Alto Iguaçuzinho </t>
  </si>
  <si>
    <t>-24.516502, -53.295763</t>
  </si>
  <si>
    <t>Trituração e compostagem em leiras, Vermicompostagem, Outros</t>
  </si>
  <si>
    <t>-24.516663, -53.294299</t>
  </si>
  <si>
    <t>Estrada Água do Jeep, ao lado da UVR - Alto Iguaçuzinho</t>
  </si>
  <si>
    <t>Há canalização do gás, Realiza a cobertura diária dos resíduos</t>
  </si>
  <si>
    <t>Biodigestão, Reciclagem das frações inorgânicas (metais, plásticos, vidros etc.)</t>
  </si>
  <si>
    <t xml:space="preserve">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13. Óleo Lubrificante e Embalagens de óleos lubrificantes - Instituto Jogue Limpo;, 14. Óleo Lubrificante e Embalagens de óleos lubrificantes - Teclub Indústria e Comércio de Lubrificantes Ltda., 15. Perfurocortantes do GRUPO E, incluindo seringas e canetas injetoras - BHS Comércio e Serviços de Produtos para Saúde LTDA., 17. Pneus inservíveis - Associação RECICLANIP, INPAR - PLÁSTICO E PAPEL </t>
  </si>
  <si>
    <t>Nova Cantu</t>
  </si>
  <si>
    <t>16802</t>
  </si>
  <si>
    <t>LEI Nº 376/2012</t>
  </si>
  <si>
    <t>LAS 344272-r1</t>
  </si>
  <si>
    <t>Rodovia vaislio boiko - sentido campina da lagoa - km 02</t>
  </si>
  <si>
    <t>-24.660781, -52.590685</t>
  </si>
  <si>
    <t>Guarapuava-PR</t>
  </si>
  <si>
    <t>-25.278507, -51.539837</t>
  </si>
  <si>
    <t>Rod PR 466 Guarapuava</t>
  </si>
  <si>
    <t>sn</t>
  </si>
  <si>
    <t>1. Agrotóxicos, seus resíduos e embalagens - InpEV - Instituto Nacional de Processamento de Embalagens Vazias, 3. Eletroeletrônicos e seus componentes - ABREE - Associação Brasileira de Reciclagem de Eletroeletrônicos e Eletrodomésticos;,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17. Pneus inservíveis - Associação RECICLANIP</t>
  </si>
  <si>
    <t>Eletroeletrônicos e seus componentes, Embalagens de aço, Embalagens de papel, Embalagens em geral, Lâmpadas fluorescentes, de vapor de sódio e mercúrio e de luz mista, Medicamentos de uso humano, Pneus inservíveis, Móveis, colchões e demais resíduos volumosos</t>
  </si>
  <si>
    <t>Possui área, já realizou o estudo de  caracterização e iniciou os procedimentos de recuperação do local, Possui área, já realizou o estudo de caracterização e finalizou os procedimentos de recuperação do local</t>
  </si>
  <si>
    <t>-24.664684, -52.587556</t>
  </si>
  <si>
    <t>Nova Esperança</t>
  </si>
  <si>
    <t>16901</t>
  </si>
  <si>
    <t>Lei nº 2496 / 2015</t>
  </si>
  <si>
    <t>Município não possui, Plano Municipal de Gestão Integrada de Resíduos Sólidos</t>
  </si>
  <si>
    <t>n</t>
  </si>
  <si>
    <t xml:space="preserve">Cascalho em estradas rurais </t>
  </si>
  <si>
    <t>Licença Prévia.LAS n°296658</t>
  </si>
  <si>
    <t>Lote,301-E, Gleba Santa Cruz</t>
  </si>
  <si>
    <t>-23.0850 -52.1146</t>
  </si>
  <si>
    <t xml:space="preserve">Maringá </t>
  </si>
  <si>
    <t>-23.478920 -51955744</t>
  </si>
  <si>
    <t>Rua Borba Gato,S/N, Lotes 47,47-E e 47-E/6</t>
  </si>
  <si>
    <t>Há flare/queimador dos gases gerados, sem aproveitamento energético, Há impermeabilização no fundo e nas laterais (geomembrana), Há coleta de chorume, Há tratamento do chorume (IN 33/2025 e Portaria IAP 259/2014), Realiza o monitoramento de corpos hídricos no entorno</t>
  </si>
  <si>
    <t>Licença Prévia , LASn° 296658</t>
  </si>
  <si>
    <t>Lei Complementar nº 2588 / 2017</t>
  </si>
  <si>
    <t xml:space="preserve">Nenhuma </t>
  </si>
  <si>
    <t>Nova Fátima</t>
  </si>
  <si>
    <t>17008</t>
  </si>
  <si>
    <t>Não ha plano</t>
  </si>
  <si>
    <t>Aterro sanitário, Aterro Sanitário em Regularização</t>
  </si>
  <si>
    <t>Não Sabemos</t>
  </si>
  <si>
    <t>-23.40246060769385, -50.844704132226</t>
  </si>
  <si>
    <t>Acesso Seccao Figueira, Lotes 135 A1, 135 Ba1, 136 A1 - Zona Rural, Assai - PR, 86.220-000</t>
  </si>
  <si>
    <t>Não temos informações precisas; Se trata de um aterro regularizado.</t>
  </si>
  <si>
    <t>Lei Complementar 01/2010</t>
  </si>
  <si>
    <t>Apenas aqueles relacionados a serviços de saúde.</t>
  </si>
  <si>
    <t>Nova Londrina</t>
  </si>
  <si>
    <t>17107</t>
  </si>
  <si>
    <t>Loanda PR</t>
  </si>
  <si>
    <t>Representar os municipios em assuntos de interesse comum, perante quaisquer entidades, especialmente junto aos Governos Federal e Estadual e seus respectivos órgãos; planejar, adotar e executar programas e medidas destinadas à conservação e recuperação dos ecossistemas associados ao Rio Paraná.</t>
  </si>
  <si>
    <t>Lei municipal nº 2701/2014 e 3.132/2019, de 27 de agosto de 2019</t>
  </si>
  <si>
    <t>Lei Municipal 2.794/2016, de 25 de maio de 2016</t>
  </si>
  <si>
    <t>Lei Municipal 3.132/2019, de 27 de agosto de 2019</t>
  </si>
  <si>
    <t>Veículos para coleta indiferenciada (convencional), Veículos para coleta seletiva de materiais recicláveis, Veículos para coleta de resíduos orgânicos provenientes de podas e jardinagem, Unidade de Triagem de Materiais Recicláveis, Ecopontos ou Pontos de Entrega Voluntária, Equipamentos para a unidade de compostagem</t>
  </si>
  <si>
    <t xml:space="preserve">Área de triagem e transbordo de RCC, </t>
  </si>
  <si>
    <t>Compostagem em leiras, Outra destinação</t>
  </si>
  <si>
    <t>Arborização urbana, Outra finalidade</t>
  </si>
  <si>
    <t>Porta-a-porta, Pontos de entrega voluntária, sacos ráfia - dias programados</t>
  </si>
  <si>
    <t>Nova Londrina PR</t>
  </si>
  <si>
    <t>UTM 22K 293009.0 E 7481998.8 S</t>
  </si>
  <si>
    <t>CHACARA 2-B GLEBA RIBEIRAO DO TIGRE</t>
  </si>
  <si>
    <t>Não realiza., VALA DE REJEITOS</t>
  </si>
  <si>
    <t>LEI MUNICIPAL 3.132/2019</t>
  </si>
  <si>
    <t>Nova Olímpia</t>
  </si>
  <si>
    <t>17206</t>
  </si>
  <si>
    <t>Nao participa</t>
  </si>
  <si>
    <t>Nao Participa</t>
  </si>
  <si>
    <t>2328.83'40"S   5360.44'00"O</t>
  </si>
  <si>
    <t>Licença de Operação nº 163165/R1</t>
  </si>
  <si>
    <t>1. Agrotóxicos, seus resíduos e embalagens - InpEV - Instituto Nacional de Processamento de Embalagens Vazias, 3. Eletroeletrônicos e seus componentes - ABREE - Associação Brasileira de Reciclagem de Eletroeletrônicos e Eletrodomésticos;, 4. Eletroeletrônicos e seus componentes - GREEN ELETRON - Gestora para Resíduos de Equipamentos Eletroeletrônicos Nacional,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13. Óleo Lubrificante e Embalagens de óleos lubrificantes - Instituto Jogue Limpo;, 16. Pilhas e baterias portáteis - ABREE - Associação Brasileira de Reciclagem de Eletroeletrônicos e Eletrodomésticos, 17. Pneus inservíveis - Associação RECICLANIP</t>
  </si>
  <si>
    <t>2. Instituto Brasileiro de Logística Reversa – ILOG;, 5. Instituto Recicleiros;, 7. ABIHPEC – Associação Brasileira da Indústria de Higiene Pessoal, Perfumaria e Cosméticos;, 9. Associação Brasileira de Bebidas – ABRABE;</t>
  </si>
  <si>
    <t>Nova Santa Bárbara</t>
  </si>
  <si>
    <t>17214</t>
  </si>
  <si>
    <t>Consórcio Intermunicipal de Saneamento do Paraná - CISPAR, Consórcio Público Intermunicipal de Desenvolvimento do Território Nordeste do Paraná – Codenop</t>
  </si>
  <si>
    <t>São Jeronimo da Serra</t>
  </si>
  <si>
    <t>Veículos para coleta seletiva de materiais recicláveis, Veículos para coleta de resíduos orgânicos provenientes de podas e jardinagem, Unidade de Transbordo, Ecopontos ou Pontos de Entrega Voluntária, Equipamentos para a unidade de triagem de materiais recicláveis, Equipamentos para a unidade de compostagem</t>
  </si>
  <si>
    <t>Realiza coleta de pequenos geradores, Realiza coleta de vias públicas e descartes irregulares, Possui Ponto de Entrega Voluntária/Ecoponto, Não possui ponto de entrega volutária</t>
  </si>
  <si>
    <t>Aterro desativado, em processo para migrar para área de triagem e transbordo de RCC.</t>
  </si>
  <si>
    <t>-23.402475398173895, -50.84474167975818</t>
  </si>
  <si>
    <t>Assaí, PR, 86220-000, Sanetran</t>
  </si>
  <si>
    <t>Há canalização do gás, Há flare/queimador dos gases gerados, sem aproveitamento energético, Há coleta de chorume, Há poços de monitoramento</t>
  </si>
  <si>
    <t>Não faz</t>
  </si>
  <si>
    <t>lei 085/2002 de 18/12/2002, para o samae receber o convenio 001/2021</t>
  </si>
  <si>
    <t xml:space="preserve">Município não possui </t>
  </si>
  <si>
    <t>-23.596342000861178, -50.72085655797013 e -23.591699693403868, -50.766189912820145</t>
  </si>
  <si>
    <t>12801</t>
  </si>
  <si>
    <t>17057</t>
  </si>
  <si>
    <t>Nova Laranjeiras</t>
  </si>
  <si>
    <t>Nova Santa Rosa</t>
  </si>
  <si>
    <t>17222</t>
  </si>
  <si>
    <t>Nenhum, ainda está em fase de regulamentação</t>
  </si>
  <si>
    <t>Lei 2.236 de 13/08/2024</t>
  </si>
  <si>
    <t>Lei complementar nº 237 de 09/07/2021</t>
  </si>
  <si>
    <t>coleta apenas na área urbana</t>
  </si>
  <si>
    <t>24°59'2 99"S  53°17'46 94"O</t>
  </si>
  <si>
    <t>Rodovia BR 277 km 573s/nº Fazenda São Domingos Cascavel PR</t>
  </si>
  <si>
    <t>Há canalização do gás, Há aproveitamento energético do gás gerado (geradores), Há impermeabilização no fundo e nas laterais (geomembrana), Há coleta de chorume, Realiza a cobertura diária dos resíduos</t>
  </si>
  <si>
    <t>LO 274599-R2</t>
  </si>
  <si>
    <t>Lei Complementar nº 15/2015 código tributário</t>
  </si>
  <si>
    <t>Nova Tebas</t>
  </si>
  <si>
    <t>17271</t>
  </si>
  <si>
    <t>644/2014</t>
  </si>
  <si>
    <t>645/2014</t>
  </si>
  <si>
    <t>Veículos para coleta seletiva de materiais recicláveis, Unidade de Compostagem, Ecopontos ou Pontos de Entrega Voluntária</t>
  </si>
  <si>
    <t>915/2021</t>
  </si>
  <si>
    <t>-24.4373, -51.91121</t>
  </si>
  <si>
    <t>Estrada do Abacateiro</t>
  </si>
  <si>
    <t>LO 315651-R3</t>
  </si>
  <si>
    <t>Código tributário. Artigo 195</t>
  </si>
  <si>
    <t>Baterias de chumbo ácido, Embalagens de aço, Embalagens de papel, Embalagens em geral, Pilhas e baterias portáteis, Pneus inservíveis</t>
  </si>
  <si>
    <t>Novo Itacolomi</t>
  </si>
  <si>
    <t>17297</t>
  </si>
  <si>
    <t>LEI MUNICIPAL 1286/2016</t>
  </si>
  <si>
    <t>NÃO SE APLICA.</t>
  </si>
  <si>
    <t>NÃO HÁ.</t>
  </si>
  <si>
    <t>LAS Nº280711</t>
  </si>
  <si>
    <t>LOTE DE TERRAS SOB NR100.</t>
  </si>
  <si>
    <t>-23.780225°-51.495702°</t>
  </si>
  <si>
    <t>-23.59525, -51.46371</t>
  </si>
  <si>
    <t xml:space="preserve">Estrada Barra Nova, 1500 (Estrada Nova Ukrânia) Gleba Nova Ucrania Apucarana - Paraná </t>
  </si>
  <si>
    <t>RLO319147-R2</t>
  </si>
  <si>
    <t>13. Óleo Lubrificante e Embalagens de óleos lubrificantes - Instituto Jogue Limpo;, 17. Pneus inservíveis - Associação RECICLANIP</t>
  </si>
  <si>
    <t>Eletroeletrônicos e seus componentes, Embalagens de aço, Embalagens de papel, Embalagens em geral, Medicamentos de uso humano, Pilhas e baterias portáteis, Produtos saneantes domissanitários desinfestantes, Móveis, colchões e demais resíduos volumosos</t>
  </si>
  <si>
    <t>-23.770670 -51.50724; -23.77998 -51.495709</t>
  </si>
  <si>
    <t>55503 53478</t>
  </si>
  <si>
    <t>Ortigueira</t>
  </si>
  <si>
    <t>17305</t>
  </si>
  <si>
    <t>Coleta e Transporte, Triagem, Tratamento</t>
  </si>
  <si>
    <t>Reserva</t>
  </si>
  <si>
    <t>LEI Nº 1.417/2014</t>
  </si>
  <si>
    <t>LEI Nº 1.529/2018</t>
  </si>
  <si>
    <t>Veículos para coleta indiferenciada (convencional), Veículos para coleta seletiva de materiais recicláveis, Veículos para coleta de resíduos orgânicos provenientes de podas e jardinagem, Unidade de Compostagem, Unidade de Transbordo, Ampliação ou adequação de aterro sanitário, Ecopontos ou Pontos de Entrega Voluntária, Equipamentos para a unidade de compostagem</t>
  </si>
  <si>
    <t>-24.2193175,-50.8912731,1047m</t>
  </si>
  <si>
    <t>Estrada velha</t>
  </si>
  <si>
    <t>LEI COMPLEMENTAR Nº 253/2019</t>
  </si>
  <si>
    <t>Ourizona</t>
  </si>
  <si>
    <t>17404</t>
  </si>
  <si>
    <t>Resíduos industriais, Resíduos de serviços de saúde, Resíduos da construção civil</t>
  </si>
  <si>
    <t>ourizona</t>
  </si>
  <si>
    <t>23°22'38.7"S 52°09'58.7"W</t>
  </si>
  <si>
    <t>pr 552</t>
  </si>
  <si>
    <t>Há canalização do gás, Há poços de monitoramento, Realiza o monitoramento de corpos hídricos no entorno</t>
  </si>
  <si>
    <t>LO- operação</t>
  </si>
  <si>
    <t xml:space="preserve">nao há </t>
  </si>
  <si>
    <t>Ouro Verde do Oeste</t>
  </si>
  <si>
    <t>17453</t>
  </si>
  <si>
    <t>Asfalto, serviço técnico ambiental</t>
  </si>
  <si>
    <t>LEI nº 627, de 11 de setembro de 2013.</t>
  </si>
  <si>
    <t>LEI Nº 832, DE 31 DE OUTUBRO DE 2019</t>
  </si>
  <si>
    <t>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Ecopontos ou Pontos de Entrega Voluntária, Equipamentos para a unidade de triagem de materiais recicláveis, Equipamentos para a unidade de compostagem</t>
  </si>
  <si>
    <t>Rodovia PR317 sentido Luz Marina</t>
  </si>
  <si>
    <t>205057.8 7547222.2</t>
  </si>
  <si>
    <t>Cascavel - Paraná Ambiental</t>
  </si>
  <si>
    <t>Não foi implantado, a logista dá-se pelos geradores ou empresas terceirizadas</t>
  </si>
  <si>
    <t>Filtros de óleos lubrificantes, Lâmpadas fluorescentes, de vapor de sódio e mercúrio e de luz mista, Óleo Lubrificante e Embalagens de óleos lubrificantes, Pilhas e baterias portáteis, Pneus inservíveis</t>
  </si>
  <si>
    <t>-24.771309° -53.915981°</t>
  </si>
  <si>
    <t>17255</t>
  </si>
  <si>
    <t>Nova Prata do Iguaçu</t>
  </si>
  <si>
    <t>11407</t>
  </si>
  <si>
    <t>Ivaí</t>
  </si>
  <si>
    <t>Paiçandu</t>
  </si>
  <si>
    <t>17503</t>
  </si>
  <si>
    <t xml:space="preserve">NÃO SE APLICA </t>
  </si>
  <si>
    <t>LEI Nº 2.640, DE 11 DE MAIO DE 2018.</t>
  </si>
  <si>
    <t>LEI N° 2885/2019</t>
  </si>
  <si>
    <t>Veículos para coleta indiferenciada (convencional), Veículos para coleta seletiva de materiais recicláveis, Unidade de Triagem de Materiais Recicláveis, Unidade de Compostagem, Unidade de Transbordo, Ampliação ou adequação de aterro sanitário, Equipamentos para a unidade de triagem de materiais recicláveis</t>
  </si>
  <si>
    <t>ATERRO DE INERTE</t>
  </si>
  <si>
    <t>Estrada dos Navegantes (Chica Chica), Lote 218-A, s/n, Gleba Ribeirão Colombo</t>
  </si>
  <si>
    <t>391980.0 - 7409029.2</t>
  </si>
  <si>
    <t>0001</t>
  </si>
  <si>
    <t>391855.6 - 7409020.0</t>
  </si>
  <si>
    <t>ESTRADA DOS NAVEGANTES (CHICA CHICA) LOTE 218-A S/N GLEBA RIBEIRÃO COLOMBO</t>
  </si>
  <si>
    <t>LO 280488</t>
  </si>
  <si>
    <t>POR M² LIMITADO ATE R$ 2500,00</t>
  </si>
  <si>
    <t>2416-2014</t>
  </si>
  <si>
    <t>00001</t>
  </si>
  <si>
    <t>000001</t>
  </si>
  <si>
    <t>2. Baterias de chumbo ácido - IBER - Instituto Brasileiro de Energia Reciclável, 3. Eletroeletrônicos e seus componentes - ABREE - Associação Brasileira de Reciclagem de Eletroeletrônicos e Eletrodomésticos;,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12. Medicamentos de uso veterinário - BHS Comércio e Serviços de Produtos para Saúde LTDA, 15. Perfurocortantes do GRUPO E, incluindo seringas e canetas injetoras - BHS Comércio e Serviços de Produtos para Saúde LTDA., 16. Pilhas e baterias portáteis - ABREE - Associação Brasileira de Reciclagem de Eletroeletrônicos e Eletrodomésticos, 16. Baterias Chumbo-Ácido - Associação Brasileira de Energia Sustentável – ABES</t>
  </si>
  <si>
    <t>municipio so tem ponto de coleta</t>
  </si>
  <si>
    <t>Palmas</t>
  </si>
  <si>
    <t>17602</t>
  </si>
  <si>
    <t>Em fase de estudos para o PGIRS e posterior avaliação do tema.</t>
  </si>
  <si>
    <t>Resolução nº 003/MRAE-3 / 2024</t>
  </si>
  <si>
    <t>-26.442410            -52.055950</t>
  </si>
  <si>
    <t>Quinhão 3 da Fazenda Santa Clara dos Tibes - Área rural.</t>
  </si>
  <si>
    <t>LO 5813</t>
  </si>
  <si>
    <t>Lei Municipal nº 1989/2010</t>
  </si>
  <si>
    <t>193.94</t>
  </si>
  <si>
    <t>Palmeira</t>
  </si>
  <si>
    <t>17701</t>
  </si>
  <si>
    <t>Plano Municipal de Saneamento Básico, Não possui</t>
  </si>
  <si>
    <t>Veículos para coleta indiferenciada (convencional), Veículos para coleta seletiva de materiais recicláveis, Veículos para coleta de resíduos orgânicos provenientes de podas e jardinagem, Unidade de Triagem de Materiais Recicláveis, Unidade de Transbordo, Ecopontos ou Pontos de Entrega Voluntária</t>
  </si>
  <si>
    <t>areas licenciadas por terceiros</t>
  </si>
  <si>
    <t>-25.178272 -50.282961</t>
  </si>
  <si>
    <t>ESTRADA OTILIA C GUIMARAES KM 03</t>
  </si>
  <si>
    <t>-25.560976 -50.150553</t>
  </si>
  <si>
    <t>Palmital</t>
  </si>
  <si>
    <t>17800</t>
  </si>
  <si>
    <t>Maringá - PR</t>
  </si>
  <si>
    <t xml:space="preserve"> Lei 891/2012</t>
  </si>
  <si>
    <t>lei 891/2012</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</si>
  <si>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Ampliação ou adequação de aterro sanitário, Ecopontos ou Pontos de Entrega Voluntária, Equipamentos para a unidade de triagem de materiais recicláveis</t>
  </si>
  <si>
    <t>17909</t>
  </si>
  <si>
    <t>Em fase inicial de estudos</t>
  </si>
  <si>
    <t xml:space="preserve">Lei Ordinária n° 6283/2022 </t>
  </si>
  <si>
    <t xml:space="preserve">Lei Complementar N° 166/2019 </t>
  </si>
  <si>
    <t>Veículos para coleta seletiva de materiais recicláveis, Unidade de Triagem de Materiais Recicláveis, Unidade de Compostagem, Unidade de Transbordo, Ampliação ou adequação de aterro sanitário, Ecopontos ou Pontos de Entrega Voluntária, Equipamentos para a unidade de triagem de materiais recicláveis, Equipamentos para a unidade de compostagem</t>
  </si>
  <si>
    <t>Não há destinação por parte do município</t>
  </si>
  <si>
    <t>Empresas Privada (terceirizada), Associação/ Cooperativa de Catadores</t>
  </si>
  <si>
    <t>-24.196258747304178, -53.8855747862948</t>
  </si>
  <si>
    <t>Linha Santana, S/N, São Camilo</t>
  </si>
  <si>
    <t>Há impermeabilização no fundo e nas laterais (geomembrana), Há coleta de chorume, Há tratamento do chorume (IN 33/2025 e Portaria IAP 259/2014), Há poços de monitoramento, Realiza a cobertura diária dos resíduos</t>
  </si>
  <si>
    <t>RLO 269838-R1</t>
  </si>
  <si>
    <t>Lei Complementar nº 081/2006 e DECRETO MUNICIPAL Nº 11.298</t>
  </si>
  <si>
    <t>Frequência/ periodicidade da coleta, Outro</t>
  </si>
  <si>
    <t>-24.293230, -53.856443</t>
  </si>
  <si>
    <t>24020</t>
  </si>
  <si>
    <t>Santa Tereza do Oeste</t>
  </si>
  <si>
    <t>07009</t>
  </si>
  <si>
    <t>03107</t>
  </si>
  <si>
    <t>Bocaiúva do Sul</t>
  </si>
  <si>
    <t>09302</t>
  </si>
  <si>
    <t>Guaraniaçu</t>
  </si>
  <si>
    <t>Paraíso do Norte</t>
  </si>
  <si>
    <t>18006</t>
  </si>
  <si>
    <t>Consórcio Intermunicipal Caiuá Ambiental - CICA, Consórcio Intermunicipal de Saneamento do Paraná - CISPAR</t>
  </si>
  <si>
    <t>PARANAVAI</t>
  </si>
  <si>
    <t xml:space="preserve">LAUDOS E AUXILIO </t>
  </si>
  <si>
    <t>Lei Municipal nº 2.364/2023</t>
  </si>
  <si>
    <t>Unidade de Triagem de Materiais Recicláveis, Ecopontos ou Pontos de Entrega Voluntária, Equipamentos para a unidade de triagem de materiais recicláveis</t>
  </si>
  <si>
    <t>Lei Municipal nº 2145/2022</t>
  </si>
  <si>
    <t xml:space="preserve">area de triagem </t>
  </si>
  <si>
    <t>-23.305448594542195, -52.61718020753948</t>
  </si>
  <si>
    <t>ESTRADA VELHA KENNEDY</t>
  </si>
  <si>
    <t>Há impermeabilização no fundo e nas laterais (geomembrana), Há tratamento do chorume (IN 33/2025 e Portaria IAP 259/2014), Há poços de monitoramento, Realiza a cobertura diária dos resíduos</t>
  </si>
  <si>
    <t xml:space="preserve">NAO </t>
  </si>
  <si>
    <t>LICENÇA OPERACIONAL 237457-R1</t>
  </si>
  <si>
    <t>605.75</t>
  </si>
  <si>
    <t>59/2022</t>
  </si>
  <si>
    <t>ANA</t>
  </si>
  <si>
    <t>4. Eletroeletrônicos e seus componentes - GREEN ELETRON - Gestora para Resíduos de Equipamentos Eletroeletrônicos Nacional, 10. Medicamentos de uso humano - Novartis Biociências SA. e Sandoz do Brasil Indústria Farmacêutica Ltda.;, 11. Medicamentos de uso humano - Sindusfarma - Sindicato da Indústria de Produtos Farmacêuticos, 17. Pneus inservíveis - Associação RECICLANIP</t>
  </si>
  <si>
    <t>Lâmpadas fluorescentes, de vapor de sódio e mercúrio e de luz mista, Medicamentos de uso humano, Pneus inservíveis, Móveis, colchões e demais resíduos volumosos</t>
  </si>
  <si>
    <t>Paranacity</t>
  </si>
  <si>
    <t>18105</t>
  </si>
  <si>
    <t>2164/2016</t>
  </si>
  <si>
    <t>-22.923556, -52.167284</t>
  </si>
  <si>
    <t>aterro por contrato</t>
  </si>
  <si>
    <t xml:space="preserve">Reciclagem das frações inorgânicas (metais, plásticos, vidros etc.), </t>
  </si>
  <si>
    <t>18204</t>
  </si>
  <si>
    <t xml:space="preserve">Nenhum conforme acima </t>
  </si>
  <si>
    <t>Resíduos industriais, Resíduos de serviços de saúde, Resíduos de mineração</t>
  </si>
  <si>
    <t>160/2014</t>
  </si>
  <si>
    <t>Veículos para coleta seletiva de materiais recicláveis, Veículos para a coleta de resíduos orgânicos (sobras alimentares), Unidade de Triagem de Materiais Recicláveis, Unidade de Compostagem, Ampliação ou adequação de aterro sanitário, Equipamentos para a unidade de triagem de materiais recicláveis, Equipamentos para a unidade de compostagem</t>
  </si>
  <si>
    <t>Ilha do Mel</t>
  </si>
  <si>
    <t>Brasília e Encantadas</t>
  </si>
  <si>
    <t>Distrito de Alexandra</t>
  </si>
  <si>
    <t>Estrada Rio das Pedras s/n</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</si>
  <si>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11. Medicamentos de uso humano - Sindusfarma - Sindicato da Indústria de Produtos Farmacêuticos, 13. Óleo Lubrificante e Embalagens de óleos lubrificantes - Instituto Jogue Limpo;, 17. Pneus inservíveis - Associação RECICLANIP</t>
  </si>
  <si>
    <t>Embalagens de papel</t>
  </si>
  <si>
    <t>Possui área degradada ou contaminada, Possui área, já realizou o estudo de  caracterização e iniciou os procedimentos de recuperação do local</t>
  </si>
  <si>
    <t>Imbocui</t>
  </si>
  <si>
    <t>Paranapoema</t>
  </si>
  <si>
    <t>18303</t>
  </si>
  <si>
    <t>Lei n° 11.445/07</t>
  </si>
  <si>
    <t xml:space="preserve">Lei Federal n° 12.305/2010 </t>
  </si>
  <si>
    <t>Veículos para coleta seletiva de materiais recicláveis, Veículos para a coleta de resíduos orgânicos (sobras alimentares), Ampliação ou adequação de aterro sanitário</t>
  </si>
  <si>
    <t>não possui área rural</t>
  </si>
  <si>
    <t>LAS - N° 222910</t>
  </si>
  <si>
    <t>Rodovia Pr 464, Paranapoema - PR,</t>
  </si>
  <si>
    <t>Latitude: -22.6339. Longitude: -52.0978</t>
  </si>
  <si>
    <t>RUA BORBA GATO S/N LOTES 47, 47-E, 47-E/6</t>
  </si>
  <si>
    <t>Há aproveitamento energético do gás gerado (geradores), Há impermeabilização no fundo e nas laterais (geomembrana), Há tratamento do chorume (IN 33/2025 e Portaria IAP 259/2014), Realiza a cobertura diária dos resíduos</t>
  </si>
  <si>
    <t>Lei Federal nº. 11.445/07</t>
  </si>
  <si>
    <t>NÃO SE SABE</t>
  </si>
  <si>
    <t>22008</t>
  </si>
  <si>
    <t>Rio Azul</t>
  </si>
  <si>
    <t>18402</t>
  </si>
  <si>
    <t>Lei Ord. 3641/2010</t>
  </si>
  <si>
    <t>Não Há.</t>
  </si>
  <si>
    <t>LEI Nº 5.200/2022  Institui o Plano Intermunicipal de Gestão Integrada de Resíduos Sólidos (PIGIRS) e dá outras providências.</t>
  </si>
  <si>
    <t>LEI Nº 4.166/2013</t>
  </si>
  <si>
    <t>Controle de erosão</t>
  </si>
  <si>
    <t>355915.8 - 7444519.4</t>
  </si>
  <si>
    <t>Gleba Patrimônio Sumaré-Lote 34-aterro sanitário de Paranavaí, s/n</t>
  </si>
  <si>
    <t>307053-R2</t>
  </si>
  <si>
    <t xml:space="preserve">-23.094561, -52.446774
</t>
  </si>
  <si>
    <t>Pato Bragado</t>
  </si>
  <si>
    <t>18451</t>
  </si>
  <si>
    <t>Vai ser para destinação final, porém o consórcio ainda esta em fase de implantação.</t>
  </si>
  <si>
    <t xml:space="preserve">Palotina </t>
  </si>
  <si>
    <t>Lei nº 1531, de 10 de maio de 2016</t>
  </si>
  <si>
    <t>Lei nº 1848, de 02 de maio de 2024</t>
  </si>
  <si>
    <t>Nossa coleta é feita por empresa tercerizada- Porém é coleta convencional mas com separação - dias alternados da coleta de orgânico e de reciclados</t>
  </si>
  <si>
    <t>na zona rural é recolhido material receclado - tanto por empresa tercerizada , como pela associação de catadores em ponto estratégicos.</t>
  </si>
  <si>
    <t>LAS nº 32133-R1</t>
  </si>
  <si>
    <t>Linha Km 13 - Lote Rural nº 03/B Per. 22º</t>
  </si>
  <si>
    <t>175681-4 - 72713904</t>
  </si>
  <si>
    <t>268774.0 - 7235170.2</t>
  </si>
  <si>
    <t>Rodovia BR 277 - Km 573</t>
  </si>
  <si>
    <t>Licença de Operação nº 274599-R2</t>
  </si>
  <si>
    <t>Lei complementar nº 090/2023</t>
  </si>
  <si>
    <t>333.455,64 - associação catadores</t>
  </si>
  <si>
    <t>327,00/ tonelada</t>
  </si>
  <si>
    <t>Eletroeletrônicos e seus componentes, Medicamentos de uso humano, Pilhas e baterias portáteis, Pneus inservíveis, Móveis, colchões e demais resíduos volumosos</t>
  </si>
  <si>
    <t>Pato Branco</t>
  </si>
  <si>
    <t>18501</t>
  </si>
  <si>
    <t>Nõa possui</t>
  </si>
  <si>
    <t>Lei Ordinária n° 5.077, de 22 de dezembro de 2017</t>
  </si>
  <si>
    <t>40.43</t>
  </si>
  <si>
    <t>Unidade de transbordo, ainda não temos contrato para destinação final</t>
  </si>
  <si>
    <t>Não temos esta informação</t>
  </si>
  <si>
    <t>possuímos</t>
  </si>
  <si>
    <t>-26.26033, -52.71958</t>
  </si>
  <si>
    <t>Rodovia BR-158 SN</t>
  </si>
  <si>
    <t>24980.72</t>
  </si>
  <si>
    <t>Frequência de coleta, Peso ou o volume médio coletado</t>
  </si>
  <si>
    <t>9348101.53</t>
  </si>
  <si>
    <t>10687441.20</t>
  </si>
  <si>
    <t>182.19</t>
  </si>
  <si>
    <t>183.80</t>
  </si>
  <si>
    <t>548.04</t>
  </si>
  <si>
    <t>175.48</t>
  </si>
  <si>
    <t>53.77</t>
  </si>
  <si>
    <t>45.46</t>
  </si>
  <si>
    <t>1. Agrotóxicos, seus resíduos e embalagens - InpEV - Instituto Nacional de Processamento de Embalagens Vazias, 3. Eletroeletrônicos e seus componentes - ABREE - Associação Brasileira de Reciclagem de Eletroeletrônicos e Eletrodomésticos;, 8. Lâmpadas fluorescentes, de vapor de sódio e mercúrio e de luz mista - RECICLUS - Associação Brasileira para Gestão da Logística Reversa de Produtos de Iluminação;, 11. Medicamentos de uso humano - Sindusfarma - Sindicato da Indústria de Produtos Farmacêuticos, 13. Óleo Lubrificante e Embalagens de óleos lubrificantes - Instituto Jogue Limpo;</t>
  </si>
  <si>
    <t>-26.2649276271, -52.713262679</t>
  </si>
  <si>
    <t>Paulo Frontin</t>
  </si>
  <si>
    <t>18709</t>
  </si>
  <si>
    <t>Lei 888 de 05 de Dezembro 2012</t>
  </si>
  <si>
    <t>N/D</t>
  </si>
  <si>
    <t>União da Vitoria.</t>
  </si>
  <si>
    <t>-26.275153,-51.122392</t>
  </si>
  <si>
    <t>Uniao da vitoria</t>
  </si>
  <si>
    <t>Licença Ambiental de Operacão(LO) n 296938-R2</t>
  </si>
  <si>
    <t>LEI 975/2023</t>
  </si>
  <si>
    <t>Eletroeletrônicos e seus componentes, Embalagens em geral, Pneus inservíveis</t>
  </si>
  <si>
    <t>-26,0020354,-50,8376241</t>
  </si>
  <si>
    <t>Peabiru</t>
  </si>
  <si>
    <t>18808</t>
  </si>
  <si>
    <t>ND</t>
  </si>
  <si>
    <t>LEI COMPLEMENTAR N.º 23/2013</t>
  </si>
  <si>
    <t>920/2013</t>
  </si>
  <si>
    <t>Veículos para coleta indiferenciada (convencional), Veículos para coleta seletiva de materiais recicláveis, Unidade de Triagem de Materiais Recicláveis, Unidade de Transbordo, Ampliação ou adequação de aterro sanitário, Ecopontos ou Pontos de Entrega Voluntária, Equipamentos para a unidade de triagem de materiais recicláveis</t>
  </si>
  <si>
    <t>TRIAGEM EM ÁREA TEMPORÁRIA</t>
  </si>
  <si>
    <t>INEXISTENTE</t>
  </si>
  <si>
    <t>-23.896145° -52.355859°</t>
  </si>
  <si>
    <t>ESTRADA LRANJEIRAS, KM 2</t>
  </si>
  <si>
    <t>RENOVAÇÃO DE  LICENÇA DE OPERAÇÃO - 337721-R1</t>
  </si>
  <si>
    <t>Peso ou o volume médio coletado</t>
  </si>
  <si>
    <t>EM PROCESSO DE DELEGAÇÃO</t>
  </si>
  <si>
    <t>Eletroeletrônicos e seus componentes, Embalagens de papel, Embalagens em geral, Pilhas e baterias portáteis, Pneus inservíveis</t>
  </si>
  <si>
    <t>Não possui área degradada ou contaminada, Possui área, já realizou o estudo de  caracterização e iniciou os procedimentos de recuperação do local</t>
  </si>
  <si>
    <t>-23.896385° -52.355183°</t>
  </si>
  <si>
    <t>Perobal</t>
  </si>
  <si>
    <t>18857</t>
  </si>
  <si>
    <t>2353.56'40"S   5326.18'30"O</t>
  </si>
  <si>
    <t>Estrada da Usina</t>
  </si>
  <si>
    <t>Há impermeabilização no fundo e nas laterais (geomembrana), Há coleta de chorume, Há poços de monitoramento</t>
  </si>
  <si>
    <t>3. Eletroeletrônicos e seus componentes - ABREE - Associação Brasileira de Reciclagem de Eletroeletrônicos e Eletrodomésticos;, 17. Pneus inservíveis - Associação RECICLANIP</t>
  </si>
  <si>
    <t>Pérola</t>
  </si>
  <si>
    <t>18907</t>
  </si>
  <si>
    <t>Lei municipal 1881/2013</t>
  </si>
  <si>
    <t>Decreto 205/2014</t>
  </si>
  <si>
    <t>Veículos para coleta indiferenciada (convencional), Veículos para coleta seletiva de materiais recicláveis, Ampliação ou adequação de aterro sanitário, Ecopontos ou Pontos de Entrega Voluntária, Aquisição de máquinas pesadas para manutenção e ampliação aterro sanitário</t>
  </si>
  <si>
    <t>Aterro sanitário, Bota fora (material inerte)</t>
  </si>
  <si>
    <t>PÉROLA</t>
  </si>
  <si>
    <t>S - 23º45'54.38'' D - 53º42'15.36''</t>
  </si>
  <si>
    <t>Estrada Palmital Lote 24-B</t>
  </si>
  <si>
    <t>Há impermeabilização no fundo e nas laterais (geomembrana), Há tratamento do chorume (IN 33/2025 e Portaria IAP 259/2014), Realiza a cobertura diária dos resíduos, Realiza o monitoramento de corpos hídricos no entorno</t>
  </si>
  <si>
    <t>Licença de Operação nº 188819-R2</t>
  </si>
  <si>
    <t>LEI COMPLEMENTAR 120 DE 28 DE DEZEMBRO DE 2021</t>
  </si>
  <si>
    <t>1238856.54</t>
  </si>
  <si>
    <t>2489287.20</t>
  </si>
  <si>
    <t>908928.68</t>
  </si>
  <si>
    <t>504.68</t>
  </si>
  <si>
    <t>387594.24</t>
  </si>
  <si>
    <t>60571.56</t>
  </si>
  <si>
    <t>120.00</t>
  </si>
  <si>
    <t>23º48'58.04" S 53º42'00.80 O</t>
  </si>
  <si>
    <t>Piên</t>
  </si>
  <si>
    <t>19103</t>
  </si>
  <si>
    <t>Decreto 263/2024</t>
  </si>
  <si>
    <t>1173/2013</t>
  </si>
  <si>
    <t>RESOLUÇÃO Nº001/MRAE-1/2024</t>
  </si>
  <si>
    <t>Lei 1208/2014</t>
  </si>
  <si>
    <t xml:space="preserve">Empresa terceirizada  </t>
  </si>
  <si>
    <t>Há canalização do gás, Há flare/queimador dos gases gerados, sem aproveitamento energético, Há aproveitamento energético do gás gerado (geradores), Há impermeabilização no fundo e nas laterais (geomembrana), Há coleta de chorume, Há tratamento do chorume (IN 33/2025 e Portaria IAP 259/2014), Há sistema de detecção de vazamento do percolado sob a impermeabilização (IN 33/2025), Realiza o monitoramento de corpos hídricos no entorno</t>
  </si>
  <si>
    <t>LO 296082-R1</t>
  </si>
  <si>
    <t>1485/2022</t>
  </si>
  <si>
    <t>1. Agrotóxicos, seus resíduos e embalagens - InpEV - Instituto Nacional de Processamento de Embalagens Vazias,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13. Óleo Lubrificante e Embalagens de óleos lubrificantes - Instituto Jogue Limpo;</t>
  </si>
  <si>
    <t>-26.127517 -49.434255</t>
  </si>
  <si>
    <t>Pinhais</t>
  </si>
  <si>
    <t>19152</t>
  </si>
  <si>
    <t>Lei 761/2006</t>
  </si>
  <si>
    <t>Lei 1335/2012</t>
  </si>
  <si>
    <t xml:space="preserve">Resolução 001/MRAE - 1/2024 - Micro Região Centro-Litoral </t>
  </si>
  <si>
    <t>Decreto 254/2024</t>
  </si>
  <si>
    <t>Unidade de Triagem de Materiais Recicláveis, Ecopontos ou Pontos de Entrega Voluntária</t>
  </si>
  <si>
    <t>Não há área rural no município</t>
  </si>
  <si>
    <t xml:space="preserve">Destinadas a bota-espera para utilização como base em calçadas </t>
  </si>
  <si>
    <t>LO nº 31136</t>
  </si>
  <si>
    <t>Rua Alto Paraná, 1765</t>
  </si>
  <si>
    <t>-25.415330  -49.194738</t>
  </si>
  <si>
    <t>Vermicompostagem, Compostagem acelerada (por exemplo, máquinas de compostagem acelerada), Outra destinação</t>
  </si>
  <si>
    <t>-25.66249  -49.33886</t>
  </si>
  <si>
    <t>Av. Nossa Senhora Aparecida, 3188 - Santa Terezinha - Fazenda Rio Grande</t>
  </si>
  <si>
    <t>LO nº 296082-R1</t>
  </si>
  <si>
    <t>Tipo de uso do imóvel</t>
  </si>
  <si>
    <t>Lei 661/2004</t>
  </si>
  <si>
    <t>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8. Lâmpadas fluorescentes, de vapor de sódio e mercúrio e de luz mista - RECICLUS - Associação Brasileira para Gestão da Logística Reversa de Produtos de Iluminação;, 9. Medicamentos de uso humano - BHS Comercio e Serviços de Produtos para Saúde LTDA.;, 11. Medicamentos de uso humano - Sindusfarma - Sindicato da Indústria de Produtos Farmacêuticos, 13. Óleo Lubrificante e Embalagens de óleos lubrificantes - Instituto Jogue Limpo;, 17. Pneus inservíveis - Associação RECICLANIP</t>
  </si>
  <si>
    <t>Eletroeletrônicos e seus componentes, Pneus inservíveis, Móveis, colchões e demais resíduos volumosos</t>
  </si>
  <si>
    <t>10078</t>
  </si>
  <si>
    <t>Imbaú</t>
  </si>
  <si>
    <t>Pinhal de São Bento</t>
  </si>
  <si>
    <t>19251</t>
  </si>
  <si>
    <t>Unidade de Compostagem, Equipamentos para a unidade de triagem de materiais recicláveis, Equipamentos para a unidade de compostagem</t>
  </si>
  <si>
    <t>-25.880227568724145, -53.22710584071412</t>
  </si>
  <si>
    <t xml:space="preserve">linha  são Luiz </t>
  </si>
  <si>
    <t xml:space="preserve"> não conheço o local</t>
  </si>
  <si>
    <t>Lei n 14/2024</t>
  </si>
  <si>
    <t>1. Agrotóxicos, seus resíduos e embalagens - InpEV - Instituto Nacional de Processamento de Embalagens Vazias, 9. Medicamentos de uso humano - BHS Comercio e Serviços de Produtos para Saúde LTDA.;, 12. Medicamentos de uso veterinário - BHS Comércio e Serviços de Produtos para Saúde LTDA</t>
  </si>
  <si>
    <t>Agrotóxicos, seus resíduos e embalagens, Medicamentos de uso humano, Medicamentos de uso veterinário</t>
  </si>
  <si>
    <t>Pinhalão</t>
  </si>
  <si>
    <t>19202</t>
  </si>
  <si>
    <t>Triagem, Tratamento, Disposição final</t>
  </si>
  <si>
    <t>11.445/2007</t>
  </si>
  <si>
    <t>12.305/10</t>
  </si>
  <si>
    <t>valas e terrenos</t>
  </si>
  <si>
    <t>-23.789140, -50.090107</t>
  </si>
  <si>
    <t>Rodovia BR272, KM 3, VIdal</t>
  </si>
  <si>
    <t>Há flare/queimador dos gases gerados, sem aproveitamento energético</t>
  </si>
  <si>
    <t>n/há</t>
  </si>
  <si>
    <t>Pinhão</t>
  </si>
  <si>
    <t>19301</t>
  </si>
  <si>
    <t>Lei 1807/2013  Plano - PMRS</t>
  </si>
  <si>
    <t>Lei 1807/2013 PMGIRSU</t>
  </si>
  <si>
    <t>Aterro sanitário, aterramento</t>
  </si>
  <si>
    <t>Imóvel Santo Antonio, s/nº, Faxinal dos Ribeiros</t>
  </si>
  <si>
    <t>437014.09 - 7147058-73</t>
  </si>
  <si>
    <t>Imóvel Santo Antonio, sn, Faxinal dos Ribeiros</t>
  </si>
  <si>
    <t>1. Agrotóxicos, seus resíduos e embalagens - InpEV - Instituto Nacional de Processamento de Embalagens Vazias, 2. Baterias de chumbo ácido - IBER - Instituto Brasileiro de Energia Reciclável,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12. Medicamentos de uso veterinário - BHS Comércio e Serviços de Produtos para Saúde LTDA, 13. Óleo Lubrificante e Embalagens de óleos lubrificantes - Instituto Jogue Limpo;, 14. Óleo Lubrificante e Embalagens de óleos lubrificantes - Teclub Indústria e Comércio de Lubrificantes Ltda., 16. Pilhas e baterias portáteis - ABREE - Associação Brasileira de Reciclagem de Eletroeletrônicos e Eletrodomésticos, 16. Baterias Chumbo-Ácido - Associação Brasileira de Energia Sustentável – ABES</t>
  </si>
  <si>
    <t>Medicamentos de uso humano, Medicamentos de uso veterinário</t>
  </si>
  <si>
    <t xml:space="preserve">-25.642991, -51.635313
</t>
  </si>
  <si>
    <t>19400</t>
  </si>
  <si>
    <t>o</t>
  </si>
  <si>
    <t>MTX Ambiental</t>
  </si>
  <si>
    <t>24°36'10,81" S                   49°59'00,38" O</t>
  </si>
  <si>
    <t>Biodigestão, Coprocessamento do CDR (combustível derivado de resíduo), Gaseificação, Reciclagem das frações inorgânicas (metais, plásticos, vidros etc.)</t>
  </si>
  <si>
    <t>1. Agrotóxicos, seus resíduos e embalagens - InpEV - Instituto Nacional de Processamento de Embalagens Vazias, 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6. Embalagens de aço (latas de tintas, etc.) - Prolata Recicladores e Associados, 8. Lâmpadas fluorescentes, de vapor de sódio e mercúrio e de luz mista - RECICLUS - Associação Brasileira para Gestão da Logística Reversa de Produtos de Iluminação;, 12. Medicamentos de uso veterinário - BHS Comércio e Serviços de Produtos para Saúde LTDA,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t>
  </si>
  <si>
    <t>Piraquara</t>
  </si>
  <si>
    <t>19509</t>
  </si>
  <si>
    <t>Lei Municipal n.° 1.798 de 09 de Março de 2018</t>
  </si>
  <si>
    <t>Em elaboração - Não há</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</si>
  <si>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Transbordo, Ecopontos ou Pontos de Entrega Voluntária, Equipamentos para a unidade de triagem de materiais recicláveis</t>
  </si>
  <si>
    <t>Municipio de Pinhais</t>
  </si>
  <si>
    <t>-25.415167, -49.194465</t>
  </si>
  <si>
    <t>-25.662585, -49.338813</t>
  </si>
  <si>
    <t>Há canalização do gás</t>
  </si>
  <si>
    <t>Lei Municipal 1.768/2017</t>
  </si>
  <si>
    <t>04402</t>
  </si>
  <si>
    <t>Cândido de Abreu</t>
  </si>
  <si>
    <t>19608</t>
  </si>
  <si>
    <t>NÃO PARTICIPA DE NENHUM CONSÓRCIO</t>
  </si>
  <si>
    <t>O Município não participa de consórcio</t>
  </si>
  <si>
    <t>Resíduos dos serviços públicos de saneamento básico, Resíduos industriais, Resíduos de serviços de saúde, Resíduos dos estabelecimentos comerciais e de prestação de serviços que geram resíduos perigosos ou resíduos que não sejam equiparados aos resíduos domiciliares, Resíduos de serviços de transportes, Resíduos agrossilvopastoris</t>
  </si>
  <si>
    <t>Lei 2336 de 14 de Setembro de 2020</t>
  </si>
  <si>
    <t>Não temos coleta indiferenciada</t>
  </si>
  <si>
    <t>Responsabilidade do gerador</t>
  </si>
  <si>
    <t>Aterro - Barro Preto-Pitanga PR.</t>
  </si>
  <si>
    <t>Há canalização do gás, Há impermeabilização no fundo e nas laterais (geomembrana), Há coleta de chorume, Há poços de monitoramento, Realiza o monitoramento de corpos hídricos no entorno</t>
  </si>
  <si>
    <t>Não é realizado</t>
  </si>
  <si>
    <t>Lei 37/2017</t>
  </si>
  <si>
    <t>Nâo Há</t>
  </si>
  <si>
    <t>Não possuimos ecopontos, as Empresas que coletam que aplicam a logistica reversa.</t>
  </si>
  <si>
    <t>9. Associação Brasileira de Bebidas – ABRABE;, 10. Ambipar Environment Residential Collection;</t>
  </si>
  <si>
    <t>Pitangueiras</t>
  </si>
  <si>
    <t>19657</t>
  </si>
  <si>
    <t>não temos grandes geradores no município</t>
  </si>
  <si>
    <t>Lei nº 015/2019</t>
  </si>
  <si>
    <t>lei 12305/2010</t>
  </si>
  <si>
    <t>Veículos para coleta seletiva de materiais recicláveis, Veículos para coleta de resíduos orgânicos provenientes de podas e jardinagem, Veículos para a coleta de resíduos orgânicos (sobras alimentares), Unidade de Triagem de Materiais Recicláveis, Unidade de Transbordo</t>
  </si>
  <si>
    <t>Estrada Pitangueiras/São Martinho</t>
  </si>
  <si>
    <t>-23.228405º   -51.584500º</t>
  </si>
  <si>
    <t>Maringá-PR</t>
  </si>
  <si>
    <t>-23.478858º -51.956070º</t>
  </si>
  <si>
    <t>Rua Borba Gato, S/N, Lotes 47, 47-E e 47-E/6</t>
  </si>
  <si>
    <t>Há canalização do gás, Há aproveitamento energético do gás gerado (geradores), Há coleta de chorume, Há tratamento do chorume (IN 33/2025 e Portaria IAP 259/2014), Há poços de monitoramento, Realiza a cobertura diária dos resíduos, Realiza o monitoramento de corpos hídricos no entorno</t>
  </si>
  <si>
    <t>RLO 282578</t>
  </si>
  <si>
    <t>lei complementar nº 003/2012</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</si>
  <si>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t>
  </si>
  <si>
    <t>Embalagens de papel, Pneus inservíveis, Móveis, colchões e demais resíduos volumosos</t>
  </si>
  <si>
    <t>-23.227822  -51.584908</t>
  </si>
  <si>
    <t>21488012-1</t>
  </si>
  <si>
    <t>Planaltina do Paraná</t>
  </si>
  <si>
    <t>19707</t>
  </si>
  <si>
    <t xml:space="preserve">loanda </t>
  </si>
  <si>
    <t xml:space="preserve">Não A </t>
  </si>
  <si>
    <t>59/2013</t>
  </si>
  <si>
    <t>243/2022</t>
  </si>
  <si>
    <t>Veículos para coleta de resíduos orgânicos provenientes de podas e jardinagem, Ampliação ou adequação de aterro sanitário, Equipamentos para a unidade de triagem de materiais recicláveis e Equipamentos para a unidade de compostagem</t>
  </si>
  <si>
    <t xml:space="preserve">NÃO A </t>
  </si>
  <si>
    <t xml:space="preserve">OUTRO </t>
  </si>
  <si>
    <t xml:space="preserve">NÃO á </t>
  </si>
  <si>
    <t>Não á</t>
  </si>
  <si>
    <t xml:space="preserve">NÃO Á </t>
  </si>
  <si>
    <t xml:space="preserve">PLANALTINA DO PARANA </t>
  </si>
  <si>
    <t>-23.018440965941437, -52.93547545193913</t>
  </si>
  <si>
    <t>Rodovia PR 218, Km 1,2, Lote N° 61-A, S/N°, Matrícula 7093</t>
  </si>
  <si>
    <t>Há canalização do gás, Há flare/queimador dos gases gerados, sem aproveitamento energético, Há impermeabilização no fundo e nas laterais (geomembrana), Há coleta de chorume, Há poços de monitoramento, Realiza a cobertura diária dos resíduos</t>
  </si>
  <si>
    <t>OUTRO</t>
  </si>
  <si>
    <t>Licença de Operação (Está em Renovação)</t>
  </si>
  <si>
    <t>NÃO Á</t>
  </si>
  <si>
    <t>-23.016019547914844, -52.90650710632706N</t>
  </si>
  <si>
    <t>Planalto</t>
  </si>
  <si>
    <t>19806</t>
  </si>
  <si>
    <t>Santa Izabel do Oeste</t>
  </si>
  <si>
    <t>ESTA EM FASE DE PLANEJAMENTO</t>
  </si>
  <si>
    <t>Resíduos dos serviços públicos de saneamento básico, Resíduos de serviços de saúde, Resíduos dos estabelecimentos comerciais e de prestação de serviços que geram resíduos perigosos ou resíduos que não sejam equiparados aos resíduos domiciliares</t>
  </si>
  <si>
    <t>lei 1853 de 2013</t>
  </si>
  <si>
    <t>Veículos para coleta de resíduos orgânicos provenientes de podas e jardinagem, Veículos para a coleta de resíduos orgânicos (sobras alimentares), Unidade de Compostagem, Unidade de Transbordo, Ecopontos ou Pontos de Entrega Voluntária</t>
  </si>
  <si>
    <t>Vermicompostagem, Outra destinação</t>
  </si>
  <si>
    <t>-25.88020863051764, -53.2271115897801</t>
  </si>
  <si>
    <t>42940,00 / MES</t>
  </si>
  <si>
    <t>39400,00 / MES</t>
  </si>
  <si>
    <t>1. Agrotóxicos, seus resíduos e embalagens - InpEV - Instituto Nacional de Processamento de Embalagens Vazias,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 17. Pneus inservíveis - Associação RECICLANIP</t>
  </si>
  <si>
    <t>Eletroeletrônicos e seus componentes, Embalagens de papel, Embalagens em geral, Lâmpadas fluorescentes, de vapor de sódio e mercúrio e de luz mista, Pilhas e baterias portáteis, Pneus inservíveis, Móveis, colchões e demais resíduos volumosos</t>
  </si>
  <si>
    <t>-25.744865537267174, -53.81466137477945</t>
  </si>
  <si>
    <t>03909</t>
  </si>
  <si>
    <t>Campina da Lagoa</t>
  </si>
  <si>
    <t>Ponta Grossa</t>
  </si>
  <si>
    <t>19905</t>
  </si>
  <si>
    <t xml:space="preserve">Não participa de consórcio </t>
  </si>
  <si>
    <t>DECRETO Nº 10.994, DE 01/02/2016</t>
  </si>
  <si>
    <t>DECRETO Nº 17.070, DE 11/03/2020</t>
  </si>
  <si>
    <t>Lei Complementar Nº 237, de 9 de julho de 2021</t>
  </si>
  <si>
    <t>DECRETO Nº 9015, DE 23/07/2014</t>
  </si>
  <si>
    <t>DECRETO Nº 10.995, DE 01/02/2016</t>
  </si>
  <si>
    <t>42.7</t>
  </si>
  <si>
    <t>Não utilizamos transbordo</t>
  </si>
  <si>
    <t>1.122 famílias de catadores de material reciclável</t>
  </si>
  <si>
    <t>Teixeira Soares-PR</t>
  </si>
  <si>
    <t>-25.180259, -50.281114</t>
  </si>
  <si>
    <t>Estr. Otília C. Guimarães KM 03 | Guaraúna Antiga Estr. Kalinoski, km 12 Teixeira Soares | PR</t>
  </si>
  <si>
    <t xml:space="preserve"> Não realiza</t>
  </si>
  <si>
    <t>RLO  340322-R1</t>
  </si>
  <si>
    <t>98137.35</t>
  </si>
  <si>
    <t>Características dos lotes (dimensões, área edificável, localização, potencial construtivo, etc.), Uso do terreno ( comercial, residencial e industrial)</t>
  </si>
  <si>
    <t>LEI Nº 6857/2001 - Código tributário municipal</t>
  </si>
  <si>
    <t>182.10</t>
  </si>
  <si>
    <t>436.44</t>
  </si>
  <si>
    <t>1911.09</t>
  </si>
  <si>
    <t>1. Agrotóxicos, seus resíduos e embalagens - InpEV - Instituto Nacional de Processamento de Embalagens Vazias, 2. Baterias de chumbo ácido - IBER - Instituto Brasileiro de Energia Reciclável,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t>
  </si>
  <si>
    <t>8. Associação Nacional dos Catadores e Catadoras de Materiais Recicláveis – ANCAT;, 9. Associação Brasileira de Bebidas – ABRABE;</t>
  </si>
  <si>
    <t>Eletroeletrônicos e seus componentes, Embalagens de papel, Embalagens em geral, Lâmpadas fluorescentes, de vapor de sódio e mercúrio e de luz mista, Medicamentos de uso humano, Pneus inservíveis, Produtos saneantes domissanitários desinfestantes, Móveis, colchões e demais resíduos volumosos</t>
  </si>
  <si>
    <t>-25.120458, -50.030850</t>
  </si>
  <si>
    <t>Pontal do Paraná</t>
  </si>
  <si>
    <t>19954</t>
  </si>
  <si>
    <t>1473/2014</t>
  </si>
  <si>
    <t>1486/2014</t>
  </si>
  <si>
    <t>Resolução 003/2023 MRAE</t>
  </si>
  <si>
    <t>Não tenho informação</t>
  </si>
  <si>
    <t>Estrada Salustiano Mesquita, s/n, Guaraguaçu</t>
  </si>
  <si>
    <t>-25.699918, -48.501617</t>
  </si>
  <si>
    <t>-25.53296867541648, -48.66605331834532</t>
  </si>
  <si>
    <t>Estr. do Rio das Pedras, S/N - Alexandra, Paranaguá - PR, 83250-000</t>
  </si>
  <si>
    <t xml:space="preserve">Não tenho informação </t>
  </si>
  <si>
    <t>Lei 2.365/2022</t>
  </si>
  <si>
    <t>1. Instituto de Promoção e Apoio à Reciclagem – InPAR;, 3. Polen Consultoria e Intermediação de Negócios em Sustentabilidade Ltda.;</t>
  </si>
  <si>
    <t>Embalagens de aço, Embalagens de papel, Embalagens em geral, Perfurocortantes do GRUPO E, incluindo seringas e canetas injetoras, Móveis, colchões e demais resíduos volumosos</t>
  </si>
  <si>
    <t>-25.699846475111595, -48.502242690163996</t>
  </si>
  <si>
    <t>Porto Amazonas</t>
  </si>
  <si>
    <t>20101</t>
  </si>
  <si>
    <t>não possui.</t>
  </si>
  <si>
    <t>sim</t>
  </si>
  <si>
    <t>Lei 1013/2014</t>
  </si>
  <si>
    <t>Veículos para coleta indiferenciada (convencional), Veículos para coleta de resíduos orgânicos provenientes de podas e jardinagem, Veículos para a coleta de resíduos orgânicos (sobras alimentares), Unidade de Compostagem, Equipamentos para a unidade de compostagem</t>
  </si>
  <si>
    <t>avenida constancio mendes 1999 Ponta grossa -pr</t>
  </si>
  <si>
    <t>5914660-7215048.0</t>
  </si>
  <si>
    <t>522518.0-7214778.0</t>
  </si>
  <si>
    <t>Estrada Otilia Cunha Guimarães s/n km 03</t>
  </si>
  <si>
    <t>Dispensa de licenciamento ambiental Estadual</t>
  </si>
  <si>
    <t>8. Associação Nacional dos Catadores e Catadoras de Materiais Recicláveis – ANCAT;, 12. Pragma Soluções Serviços e Projetos Ltda;</t>
  </si>
  <si>
    <t>Porto Barreiro</t>
  </si>
  <si>
    <t>20150</t>
  </si>
  <si>
    <t>Laranjeiras do Sul - Paraná</t>
  </si>
  <si>
    <t>Veículos para coleta indiferenciada (convencional)</t>
  </si>
  <si>
    <t>Não realiza coleta</t>
  </si>
  <si>
    <t>Pontos e entrega voluntária, NÃO HÁ</t>
  </si>
  <si>
    <t>Laranjeiras Do Sul</t>
  </si>
  <si>
    <t>-52.41539064759211,-25.46416960836023</t>
  </si>
  <si>
    <t>Rodovia PR 565, S/N, Linha Nossa Senhora Aparecida, CEP 85301-970-  Laranjeiras do Sul, Paraná</t>
  </si>
  <si>
    <t>Licença de Operaçaõ 208540</t>
  </si>
  <si>
    <t>Lei n° 31/1997</t>
  </si>
  <si>
    <t xml:space="preserve"> Plano Municipal de Saneamento</t>
  </si>
  <si>
    <t>Porto Rico</t>
  </si>
  <si>
    <t>20200</t>
  </si>
  <si>
    <t xml:space="preserve">Loanda </t>
  </si>
  <si>
    <t>o comafem auxilia o município  em ações de Educação Ambiental e projetos voltados ao meio ambiente</t>
  </si>
  <si>
    <t>Lei 1.504/2019</t>
  </si>
  <si>
    <t>Lei 1.594/2020</t>
  </si>
  <si>
    <t>resíduos de construção civil é aproveitado para recuperar estradas vicinais</t>
  </si>
  <si>
    <t xml:space="preserve">Porto Rico </t>
  </si>
  <si>
    <t>(-22.7942844, -53.2774663)</t>
  </si>
  <si>
    <t>Estrada rural Porto Rico</t>
  </si>
  <si>
    <t>Há canalização do gás, Há impermeabilização no fundo e nas laterais (geomembrana), Há poços de monitoramento, Realiza a cobertura diária dos resíduos, Realiza o monitoramento de corpos hídricos no entorno</t>
  </si>
  <si>
    <t>Licença de Operação 303841-R2</t>
  </si>
  <si>
    <t>lei 1.737/2022</t>
  </si>
  <si>
    <t>Eletroeletrônicos e seus componentes, Pilhas e baterias portáteis, Pneus inservíveis</t>
  </si>
  <si>
    <t>(-22.7831232, -53.2736911)</t>
  </si>
  <si>
    <t>Porto Vitória</t>
  </si>
  <si>
    <t>20309</t>
  </si>
  <si>
    <t>Lei Nº 1.646/2022</t>
  </si>
  <si>
    <t>Veículos para coleta indiferenciada (convencional), Veículos para coleta seletiva de materiais recicláveis, Veículos para coleta de resíduos orgânicos provenientes de podas e jardinagem, Veículos para a coleta de resíduos orgânicos (sobras alimentares), Ampliação ou adequação de aterro sanitário, Ecopontos ou Pontos de Entrega Voluntária</t>
  </si>
  <si>
    <t xml:space="preserve">Bota fora </t>
  </si>
  <si>
    <t>-26.176747 -51.229766</t>
  </si>
  <si>
    <t xml:space="preserve">Linha São Miguel, s/nº, Rural, Porto Vitória </t>
  </si>
  <si>
    <t>Há canalização do gás, Há impermeabilização no fundo e nas laterais (geomembrana), Há coleta de chorume, Há tratamento do chorume (IN 33/2025 e Portaria IAP 259/2014), Realiza a cobertura diária dos resíduos</t>
  </si>
  <si>
    <t xml:space="preserve">Em licenciamento </t>
  </si>
  <si>
    <t>LEI COMPLEMENTAR Nº 9/2012</t>
  </si>
  <si>
    <t>14401</t>
  </si>
  <si>
    <t>Mangueirinha</t>
  </si>
  <si>
    <t>26306</t>
  </si>
  <si>
    <t>Sengés</t>
  </si>
  <si>
    <t>20333</t>
  </si>
  <si>
    <t>PRADO FERREIRA</t>
  </si>
  <si>
    <t>LEI Nº 425 DE 22 DE DEZEMBRO DE 2015 - PUBLICADO DIA 23/12/2015</t>
  </si>
  <si>
    <t>Veículos para coleta indiferenciada (convencional), Veículos para coleta seletiva de materiais recicláveis, Veículos para coleta de resíduos orgânicos provenientes de podas e jardinagem, Ampliação ou adequação de aterro sanitário</t>
  </si>
  <si>
    <t>LAS Nº 168848</t>
  </si>
  <si>
    <t>PR 170 KM 49</t>
  </si>
  <si>
    <t>453653.6   7449387.0</t>
  </si>
  <si>
    <t>LONDRINA</t>
  </si>
  <si>
    <t>-23.397211550648347, -51.13085658465528</t>
  </si>
  <si>
    <t>RODOVIA CELSO GARCIA CID GLEBA CAFEZAL</t>
  </si>
  <si>
    <t>152160-R1</t>
  </si>
  <si>
    <t>LEI Nº27 DE 21 DE NOVEMBRO DE 1997</t>
  </si>
  <si>
    <t>23°03'45.1"S 51°27'09.1"W</t>
  </si>
  <si>
    <t>Presidente Castelo Branco</t>
  </si>
  <si>
    <t>20408</t>
  </si>
  <si>
    <t>Paranavai</t>
  </si>
  <si>
    <t>CODIGO DE POSTURAS DO MUNICÍPIO DE PRESIDENTE CASTELO BRANCO LEI COMPLEMENTAR Nº 13, DE 02 DE DEZEMBRO DE 2022</t>
  </si>
  <si>
    <t>Resíduos dos serviços públicos de saneamento básico, Resíduos de serviços de saúde</t>
  </si>
  <si>
    <t>PLANO DE SANEAMENTO BASICO LEI Nº 1.025, DE 27 DE NOVEMBRO DE 2017</t>
  </si>
  <si>
    <t>Veículos para coleta indiferenciada (convencional), Veículos para coleta seletiva de materiais recicláveis, Veículos para coleta de resíduos orgânicos provenientes de podas e jardinagem</t>
  </si>
  <si>
    <t xml:space="preserve"> Destinado a reparos em estradas rurais</t>
  </si>
  <si>
    <t>-23. 10534 ; -52. 40396</t>
  </si>
  <si>
    <t>Gleba patrimônio Sumaré, Lote 34- Sumaré, Paranavaí-Pr, 87180 000</t>
  </si>
  <si>
    <t>Empresa privada e gestão pública</t>
  </si>
  <si>
    <t>RLO 307053-R2</t>
  </si>
  <si>
    <t xml:space="preserve">Logstica reversa de pneus, lampadas e eletronicos. </t>
  </si>
  <si>
    <t>Primeiro de Maio</t>
  </si>
  <si>
    <t>20507</t>
  </si>
  <si>
    <t>756/2020</t>
  </si>
  <si>
    <t>Lei nº 756/2020</t>
  </si>
  <si>
    <t>Não tem.</t>
  </si>
  <si>
    <t xml:space="preserve"> LAS n.º 300117-R1</t>
  </si>
  <si>
    <t xml:space="preserve">barra bonita </t>
  </si>
  <si>
    <t>494000.4-7474096.2</t>
  </si>
  <si>
    <t>Ainda não realiza nenhuma ação, Incentivo à compostagem doméstica</t>
  </si>
  <si>
    <t>494000.4     7474096.2</t>
  </si>
  <si>
    <t>Barra Bonita</t>
  </si>
  <si>
    <t xml:space="preserve">Compostagem, </t>
  </si>
  <si>
    <t>300117-R1</t>
  </si>
  <si>
    <t>615/2015</t>
  </si>
  <si>
    <t>Realizamos campanha ao longo do ano de eletrônicos, lâmpadas e pneus.</t>
  </si>
  <si>
    <t>Somente em campanhas.</t>
  </si>
  <si>
    <t>Longitude UTM: 498592.00 m E
Latitude UTM: 7470840.00 m S</t>
  </si>
  <si>
    <t>Prudentópolis</t>
  </si>
  <si>
    <t>20606</t>
  </si>
  <si>
    <t>Não tem</t>
  </si>
  <si>
    <t>LEI: Nº 2.254/2017</t>
  </si>
  <si>
    <t>Unidade de Compostagem, Ampliação ou adequação de aterro sanitário, Ecopontos ou Pontos de Entrega Voluntária, Equipamentos para a unidade de compostagem</t>
  </si>
  <si>
    <t>280494-R2</t>
  </si>
  <si>
    <t>Barra Grande s/n- Rodovia 376</t>
  </si>
  <si>
    <t>-25.220304°   -51.025942°</t>
  </si>
  <si>
    <t>-25.279646°    -51.537887°</t>
  </si>
  <si>
    <t xml:space="preserve"> Rodovia PR-466, Km 13 S/N Distrito, Guarapuava - PR, 85118-000</t>
  </si>
  <si>
    <t>Lei Federal nº 14.026/2020</t>
  </si>
  <si>
    <t>Quarto Centenário</t>
  </si>
  <si>
    <t>20655</t>
  </si>
  <si>
    <t>Lei nº 487/2014</t>
  </si>
  <si>
    <t>Veículos para coleta seletiva de materiais recicláveis, Veículos para coleta de resíduos orgânicos provenientes de podas e jardinagem, Unidade de Triagem de Materiais Recicláveis, Unidade de Transbordo</t>
  </si>
  <si>
    <t>LAS 301016R01</t>
  </si>
  <si>
    <t>Rodovia BR 180 km 219</t>
  </si>
  <si>
    <t>-24.306197° -53.099699°</t>
  </si>
  <si>
    <t>-23.476730° -51.956411°</t>
  </si>
  <si>
    <t xml:space="preserve">Lote 47,47-E e 47-E/6 </t>
  </si>
  <si>
    <t>Não informado</t>
  </si>
  <si>
    <t>Lei nºN 90/1999</t>
  </si>
  <si>
    <t>não estimado</t>
  </si>
  <si>
    <t>não informado</t>
  </si>
  <si>
    <t>Quatro Barras</t>
  </si>
  <si>
    <t>20804</t>
  </si>
  <si>
    <t>Lei Municipal 758/2012</t>
  </si>
  <si>
    <t>Resolução n° 001/MRAE-1/2024 - Microregião Centro Litoral</t>
  </si>
  <si>
    <t>Não há - Em regularização</t>
  </si>
  <si>
    <t>Rua Olívio Fávaro 72, Centro Industrial, Quatro Barras/PR</t>
  </si>
  <si>
    <t>-25.35840 -49.06824</t>
  </si>
  <si>
    <t>-25.66249 -49.33884</t>
  </si>
  <si>
    <t>Avenida Nossa Senhora Aparecida 3188, Santa Terezinha, Fazenda Rio Grande/PR</t>
  </si>
  <si>
    <t>LO 22230</t>
  </si>
  <si>
    <t>Lei Municipal 38/2001</t>
  </si>
  <si>
    <t>3. Eletroeletrônicos e seus componentes - ABREE - Associação Brasileira de Reciclagem de Eletroeletrônicos e Eletrodomésticos;, 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 17. Pneus inservíveis - Associação RECICLANIP</t>
  </si>
  <si>
    <t>Embalagens de papel, Embalagens em geral, Medicamentos de uso humano, Perfurocortantes do GRUPO E, incluindo seringas e canetas injetoras, Móveis, colchões e demais resíduos volumosos</t>
  </si>
  <si>
    <t>-25.37145 -49.06448 / -2534560 - 49.04279</t>
  </si>
  <si>
    <t>Quatro Pontes</t>
  </si>
  <si>
    <t>20853</t>
  </si>
  <si>
    <t>Tratamento</t>
  </si>
  <si>
    <t>Cascavel - PR</t>
  </si>
  <si>
    <t>https://leismunicipais.com.br/a1/pr/q/quatro-pontes/lei-ordinaria/2016/179/1786/lei-ordinaria-n-1786-2016-dispoe-sobre-a-politica-municipal-de-saneamento-basico-do-municipio-de-quatro-pontes-e-da-outras-providencias?q=saneamento</t>
  </si>
  <si>
    <t>https://leismunicipais.com.br/a1/pr/q/quatro-pontes/lei-ordinaria/2015/158/1580/lei-ordinaria-n-1580-2015-aprova-o-plano-municipal-de-gestao-integrada-de-residuos-solidos-do-municipio-de-quatro-pontes-pr-e-da-outras-providencias?q=res%C3%ADduos+s%C3%B3lidos</t>
  </si>
  <si>
    <t>Equipamentos para a unidade de triagem de materiais recicláveis</t>
  </si>
  <si>
    <t>Lixão, Uma grande parte do resíduo é utilizado em aterramentos e bases de terraplanagem</t>
  </si>
  <si>
    <t>Há flare/queimador dos gases gerados, sem aproveitamento energético, Há impermeabilização no fundo e nas laterais (geomembrana), Há coleta de chorume, Há poços de monitoramento</t>
  </si>
  <si>
    <t>Lei N°32/2023</t>
  </si>
  <si>
    <t>21208</t>
  </si>
  <si>
    <t>Quitandinha</t>
  </si>
  <si>
    <t>Quinta do Sol</t>
  </si>
  <si>
    <t>21109</t>
  </si>
  <si>
    <t>Decreto Estadual nº 7304/2021</t>
  </si>
  <si>
    <t>Não foi aprovado ainda</t>
  </si>
  <si>
    <t>área de despejo</t>
  </si>
  <si>
    <t>RLO 336336-R2</t>
  </si>
  <si>
    <t>Lote n° 23-2 gleba 8 colônia PR-082 Quinta do sol</t>
  </si>
  <si>
    <t>-23.868836°   -52.115909°</t>
  </si>
  <si>
    <t>Rod. Celso Garcia Cid, 12633 Gleba Cafezal Londrina-PR</t>
  </si>
  <si>
    <t>Há aproveitamento energético do gás gerado (geradores), Há coleta de chorume,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</si>
  <si>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RLO 256494-R2</t>
  </si>
  <si>
    <t>Ramilândia</t>
  </si>
  <si>
    <t>21257</t>
  </si>
  <si>
    <t>NAO TEMOS CONSORCIO</t>
  </si>
  <si>
    <t xml:space="preserve"> Lei Ordinária nº 807/2013</t>
  </si>
  <si>
    <t>MRAE 3/ CONTRATO 0019/2022</t>
  </si>
  <si>
    <t>PLANO INTERMUNICIPAL DE GESTÃO INTEGRADA DE RESÍDUOS SÓLIDOS – DECRETO Nº 3109/2017</t>
  </si>
  <si>
    <t>Veículos para coleta indiferenciada (convencional), Veículos para coleta seletiva de materiais recicláveis, Unidade de Triagem de Materiais Recicláveis, Ecopontos ou Pontos de Entrega Voluntária</t>
  </si>
  <si>
    <t>LAS 291386</t>
  </si>
  <si>
    <t xml:space="preserve">ESTRADA FAZENDA RAMILANDIA, S/N </t>
  </si>
  <si>
    <t>19.3301.8 - 7218696.2</t>
  </si>
  <si>
    <t>PARANA AMBIENTAL/CASCAVEL-PR</t>
  </si>
  <si>
    <t>-24.9829062,-53.2946698,836</t>
  </si>
  <si>
    <t>NAO REALIZA DISPOSIÇÃO FINAL DE RESIDUOS CONVENCIONAL</t>
  </si>
  <si>
    <t>Rancho Alegre D'Oeste</t>
  </si>
  <si>
    <t>21356</t>
  </si>
  <si>
    <t>LEI Nº. 550/06/2014</t>
  </si>
  <si>
    <t>Não há - temos aterro</t>
  </si>
  <si>
    <t>Município tem aterro próprio</t>
  </si>
  <si>
    <t>-24.316270035304104, -52.966007192045716</t>
  </si>
  <si>
    <t>Estrada Integrada, Lote 62/1 Gleba 13 - Rancho Alegre do Oeste/PR</t>
  </si>
  <si>
    <t>LO em regularização</t>
  </si>
  <si>
    <t>Código Tributário 058/93</t>
  </si>
  <si>
    <t>Realeza</t>
  </si>
  <si>
    <t>21406</t>
  </si>
  <si>
    <t>Lei nº 2.691/2018</t>
  </si>
  <si>
    <t xml:space="preserve">possui plano municipal </t>
  </si>
  <si>
    <t>Lei 1.856/2019</t>
  </si>
  <si>
    <t>Veículos para coleta indiferenciada (convencional), Veículos para coleta seletiva de materiais recicláveis, Veículos para coleta de resíduos orgânicos provenientes de podas e jardinagem, Veículos para a coleta de resíduos orgânicos (sobras alimentares), Unidade de Compostagem, Ampliação ou adequação de aterro sanitário, Ecopontos ou Pontos de Entrega Voluntária, Equipamentos para a unidade de compostagem</t>
  </si>
  <si>
    <t>aterramento de lotes e adequação de estradas</t>
  </si>
  <si>
    <t>No próprio município de Realeza.</t>
  </si>
  <si>
    <t>-25.831388 - 53.521938</t>
  </si>
  <si>
    <t>Linha Beija Flor, s/n, Zona Rural, margens da PR-281</t>
  </si>
  <si>
    <t xml:space="preserve">não há triagem </t>
  </si>
  <si>
    <t>Licença de Operação 346749-R2</t>
  </si>
  <si>
    <t>Lei complementar 06/2024</t>
  </si>
  <si>
    <t>13.56</t>
  </si>
  <si>
    <t>273.56</t>
  </si>
  <si>
    <t>1. Agrotóxicos, seus resíduos e embalagens - InpEV - Instituto Nacional de Processamento de Embalagens Vazias,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 16. Baterias Chumbo-Ácido - Associação Brasileira de Energia Sustentável – ABES</t>
  </si>
  <si>
    <t>Eletroeletrônicos e seus componentes, Embalagens de aço, Embalagens de papel, Embalagens em geral, Lâmpadas fluorescentes, de vapor de sódio e mercúrio e de luz mista, Medicamentos de uso humano, Pilhas e baterias portáteis, Pneus inservíveis, Móveis, colchões e demais resíduos volumosos</t>
  </si>
  <si>
    <t>-25.7847580 -53,5223700</t>
  </si>
  <si>
    <t>Rebouças</t>
  </si>
  <si>
    <t>21505</t>
  </si>
  <si>
    <t>526645.977,7152496.309</t>
  </si>
  <si>
    <t>MAFRA</t>
  </si>
  <si>
    <t>Não há INFORMAÇÕES</t>
  </si>
  <si>
    <t>Lei nº 2062/2017</t>
  </si>
  <si>
    <t xml:space="preserve">1. Agrotóxicos, seus resíduos e embalagens - InpEV - Instituto Nacional de Processamento de Embalagens Vazias, 8. Lâmpadas fluorescentes, de vapor de sódio e mercúrio e de luz mista - RECICLUS - Associação Brasileira para Gestão da Logística Reversa de Produtos de Iluminação;, O minicipio realizou parcerias para destinação de Pilhas, Baterias e eletroeletrônico com outras empresas </t>
  </si>
  <si>
    <t>Agrotóxicos, seus resíduos e embalagens, Baterias de chumbo ácido, Eletroeletrônicos e seus componentes, Lâmpadas fluorescentes, de vapor de sódio e mercúrio e de luz mista, Medicamentos de uso humano, Medicamentos de uso veterinário, Perfurocortantes do GRUPO E, incluindo seringas e canetas injetoras, Pilhas e baterias portáteis, Móveis, colchões e demais resíduos volumosos</t>
  </si>
  <si>
    <t>526347.274,7172225.295</t>
  </si>
  <si>
    <t>Renascença</t>
  </si>
  <si>
    <t>21604</t>
  </si>
  <si>
    <t xml:space="preserve">Não está definido ainda. </t>
  </si>
  <si>
    <t xml:space="preserve">O Município fez adesão em 2025, porém o Consud ainda está em fase de tramitação e elaboração dos documentos. Não temos nada ativo ainda de coleta e destinação final. </t>
  </si>
  <si>
    <t>Não tem nome ainda</t>
  </si>
  <si>
    <t xml:space="preserve">Não há, foi somente elaborado o plano e na época não foi criado decreto nem lei. </t>
  </si>
  <si>
    <t xml:space="preserve">Não há legislação. Só o plano sem lei. </t>
  </si>
  <si>
    <t>Veículos para coleta seletiva de materiais recicláveis, Unidade de Compostagem, fiscalização, educação ambiental, implantação de lixeiras.</t>
  </si>
  <si>
    <t xml:space="preserve">britagem </t>
  </si>
  <si>
    <t>331373-R2</t>
  </si>
  <si>
    <t>Linha XV de novembro - Renascença PR</t>
  </si>
  <si>
    <t>-26.168376, -52.987641</t>
  </si>
  <si>
    <t>Dois Vizinhos - empresa terceirizada</t>
  </si>
  <si>
    <t>296712.4 - 7145350.4</t>
  </si>
  <si>
    <t>Linha São Roque - Dois Vizinhos PR</t>
  </si>
  <si>
    <t>Há impermeabilização no fundo e nas laterais (geomembrana), Há poços de monitoramento, Há sistema de detecção de vazamento do percolado sob a impermeabilização (IN 33/2025)</t>
  </si>
  <si>
    <t>Lei complementar nº 02 de 10/10/91</t>
  </si>
  <si>
    <t>211.71</t>
  </si>
  <si>
    <t>27.39</t>
  </si>
  <si>
    <t>Agrotóxicos, seus resíduos e embalagens, Eletroeletrônicos e seus componentes, Lâmpadas fluorescentes, de vapor de sódio e mercúrio e de luz mista, Óleo Lubrificante e Embalagens de óleos lubrificantes, Pilhas e baterias portáteis, Pneus inservíveis</t>
  </si>
  <si>
    <t>21703</t>
  </si>
  <si>
    <t>Lei 602/2014</t>
  </si>
  <si>
    <t>PIRAI DO SUL</t>
  </si>
  <si>
    <t>-24.600259, -49.987485</t>
  </si>
  <si>
    <t>RESPOSTA SOMENTE COM A EMPRESA TERCERIZADA</t>
  </si>
  <si>
    <t>NAO REALIZA</t>
  </si>
  <si>
    <t xml:space="preserve">NÃO UTILIZA </t>
  </si>
  <si>
    <t>24°40'18.5"S 50°51'56.6"W</t>
  </si>
  <si>
    <t>01002</t>
  </si>
  <si>
    <t>Ampére</t>
  </si>
  <si>
    <t>Reserva do Iguaçu</t>
  </si>
  <si>
    <t>21752</t>
  </si>
  <si>
    <t>aterro próprio</t>
  </si>
  <si>
    <t>773/2012</t>
  </si>
  <si>
    <t>Veículos para coleta de resíduos orgânicos provenientes de podas e jardinagem, Veículos para a coleta de resíduos orgânicos (sobras alimentares), Unidade de Triagem de Materiais Recicláveis, Unidade de Compostagem, Ampliação ou adequação de aterro sanitário, Ecopontos ou Pontos de Entrega Voluntária, Equipamentos para a unidade de triagem de materiais recicláveis, Equipamentos para a unidade de compostagem</t>
  </si>
  <si>
    <t>A prefeitura deposita em um bota fora sem licença ainda</t>
  </si>
  <si>
    <t>-25° 49' 2,71" S e -52° 3,49' 90"W</t>
  </si>
  <si>
    <t>Comunidade rural  Terra Nova 00</t>
  </si>
  <si>
    <t>Valor fixo por imóvel., Consumo de água</t>
  </si>
  <si>
    <t>3. Eletroeletrônicos e seus componentes - ABREE - Associação Brasileira de Reciclagem de Eletroeletrônicos e Eletrodomésticos;, 5. Eletroeletrônicos e seus componentes - Elgin SA., 8. Lâmpadas fluorescentes, de vapor de sódio e mercúrio e de luz mista - RECICLUS - Associação Brasileira para Gestão da Logística Reversa de Produtos de Iluminação;, 9. Medicamentos de uso humano - BHS Comercio e Serviços de Produtos para Saúde LTDA.;, 11. Medicamentos de uso humano - Sindusfarma - Sindicato da Indústria de Produtos Farmacêuticos, 13. Óleo Lubrificante e Embalagens de óleos lubrificantes - Instituto Jogue Limpo;, 16. Pilhas e baterias portáteis - ABREE - Associação Brasileira de Reciclagem de Eletroeletrônicos e Eletrodomésticos, 17. Pneus inservíveis - Associação RECICLANIP</t>
  </si>
  <si>
    <t>Eletroeletrônicos e seus componentes, Embalagens de papel, Embalagens em geral</t>
  </si>
  <si>
    <t>Ribeirão Claro</t>
  </si>
  <si>
    <t>21802</t>
  </si>
  <si>
    <t xml:space="preserve">Joaquim Távora </t>
  </si>
  <si>
    <t>Decreto 176/2014</t>
  </si>
  <si>
    <t>Lei 794/2011</t>
  </si>
  <si>
    <t>ao lado do aterro sanitário</t>
  </si>
  <si>
    <t>23.541824, -49.925895</t>
  </si>
  <si>
    <t>Joaquim Távora - PR</t>
  </si>
  <si>
    <t>Há canalização do gás, Há impermeabilização no fundo e nas laterais (geomembrana), Há coleta de chorume, Há tratamento do chorume (IN 33/2025 e Portaria IAP 259/2014), Há sistema de detecção de vazamento do percolado sob a impermeabilização (IN 33/2025)</t>
  </si>
  <si>
    <t>078/1997</t>
  </si>
  <si>
    <t>Sete Ambiental</t>
  </si>
  <si>
    <t>Eletroeletrônicos e seus componentes, Embalagens de aço, Embalagens de papel, Embalagens em geral, Medicamentos de uso humano, Pilhas e baterias portáteis</t>
  </si>
  <si>
    <t>23.193151 49.771657</t>
  </si>
  <si>
    <t>Ribeirão do Pinhal</t>
  </si>
  <si>
    <t>21901</t>
  </si>
  <si>
    <t>Resíduos de serviços de saúde, O município não exige Plano de Gerenciamento de Resíduos Sólidos</t>
  </si>
  <si>
    <t>LEI 1649/2014</t>
  </si>
  <si>
    <t>1902/2018</t>
  </si>
  <si>
    <t>ASSAÍ - PARANÁ</t>
  </si>
  <si>
    <t>-23.402697 -50.844885</t>
  </si>
  <si>
    <t>LOTE FIGUEIRA, SEÇÃO 135 - ASSAÍ/PARANÁ</t>
  </si>
  <si>
    <t>Rio Bom</t>
  </si>
  <si>
    <t>22107</t>
  </si>
  <si>
    <t xml:space="preserve">Não existe consórcio </t>
  </si>
  <si>
    <t>Xxx</t>
  </si>
  <si>
    <t>Xxxx</t>
  </si>
  <si>
    <t>Veículos para coleta indiferenciada (convencional), Veículos para coleta seletiva de materiais recicláveis, Veículos para coleta de resíduos orgânicos provenientes de podas e jardinagem, Unidade de Triagem de Materiais Recicláveis</t>
  </si>
  <si>
    <t>Recuperação de crateras</t>
  </si>
  <si>
    <t xml:space="preserve">Apucarana </t>
  </si>
  <si>
    <t>-23.354285 - 51.275495</t>
  </si>
  <si>
    <t xml:space="preserve">Contorno sul, vila Nova Ucrânia </t>
  </si>
  <si>
    <t>Há flare/queimador dos gases gerados, sem aproveitamento energético, Há impermeabilização no fundo e nas laterais (geomembrana), Há tratamento do chorume (IN 33/2025 e Portaria IAP 259/2014), Realiza a cobertura diária dos resíduos</t>
  </si>
  <si>
    <t>-23.464540 - 51.252428</t>
  </si>
  <si>
    <t>Rio Bonito do Iguaçu</t>
  </si>
  <si>
    <t>22156</t>
  </si>
  <si>
    <t xml:space="preserve">não participa de consórcio </t>
  </si>
  <si>
    <t>LEI Nº 1.079/2014</t>
  </si>
  <si>
    <t xml:space="preserve">LEI Nº 014/2016 </t>
  </si>
  <si>
    <t>Decreto n° 156/2020</t>
  </si>
  <si>
    <t>RLAS n° 349505 R2</t>
  </si>
  <si>
    <t xml:space="preserve">Comunidade Alto o Trevo, sn, ATERRO </t>
  </si>
  <si>
    <t>-25.502440, -52.550949</t>
  </si>
  <si>
    <t>-25.464043, -52.415433</t>
  </si>
  <si>
    <t>Rodovia PR 565, s/nº, km 8, Linha Nossa Senhora Aparecida, Gleba nº 07, Laranjeiras do Sul</t>
  </si>
  <si>
    <t>Há impermeabilização no fundo e nas laterais (geomembrana), Há tratamento do chorume (IN 33/2025 e Portaria IAP 259/2014), Há poços de monitoramento, Realiza a cobertura diária dos resíduos, Realiza o monitoramento de corpos hídricos no entorno</t>
  </si>
  <si>
    <t>LO-A n° 208540</t>
  </si>
  <si>
    <t xml:space="preserve">LEI COMPLEMENTAR Nº 080/2023 </t>
  </si>
  <si>
    <t>4. Eletroeletrônicos e seus componentes - GREEN ELETRON - Gestora para Resíduos de Equipamentos Eletroeletrônicos Nacional</t>
  </si>
  <si>
    <t>-25.501850, -52.551290</t>
  </si>
  <si>
    <t>AA N° 56991</t>
  </si>
  <si>
    <t>Rio Branco do Ivaí</t>
  </si>
  <si>
    <t>22172</t>
  </si>
  <si>
    <t xml:space="preserve">Município não participa de consórcio </t>
  </si>
  <si>
    <t>N</t>
  </si>
  <si>
    <t>340208-r1</t>
  </si>
  <si>
    <t xml:space="preserve">Gleba do ribeirão Aquidabãn - Itambé PR </t>
  </si>
  <si>
    <t>401190.4-7386856.4</t>
  </si>
  <si>
    <t xml:space="preserve">Itambé </t>
  </si>
  <si>
    <t>401290.4-7386856.4</t>
  </si>
  <si>
    <t xml:space="preserve">CTR ITAMBÉ - SANEAMENTO BÁSICO </t>
  </si>
  <si>
    <t xml:space="preserve">Não faz </t>
  </si>
  <si>
    <t xml:space="preserve">Licença de operação </t>
  </si>
  <si>
    <t>182/2004</t>
  </si>
  <si>
    <t>26603</t>
  </si>
  <si>
    <t>Siqueira Campos</t>
  </si>
  <si>
    <t>Rio Branco do Sul</t>
  </si>
  <si>
    <t>22206</t>
  </si>
  <si>
    <t>Consórcio Intermunicipal para Gestão dos Resíduos Sólidos Urbanos - CONRESOL, Consórcio Intermunicipal de Saneamento do Paraná - CISPAR</t>
  </si>
  <si>
    <t>CONRESOL - Curitiba / CISPAR - Maringá</t>
  </si>
  <si>
    <t>LEI MUNICIPAL 1380/2023</t>
  </si>
  <si>
    <t>RESOLUÇÃO Nº001/MRAE-1/2024 – MICRORREGIÃO CENTROLITORAL (Prot.: 21.437.540-0)</t>
  </si>
  <si>
    <t>Veículos para coleta indiferenciada (convencional), Veículos para coleta seletiva de materiais recicláveis, Veículos para coleta de resíduos orgânicos provenientes de podas e jardinagem, Unidade de Compostagem, Unidade de Transbordo, Ecopontos ou Pontos de Entrega Voluntária, Equipamentos para a unidade de compostagem</t>
  </si>
  <si>
    <t>Depósito temporário com segregação</t>
  </si>
  <si>
    <t>LAS 222477</t>
  </si>
  <si>
    <t>Rodovia dos Minério, km 27</t>
  </si>
  <si>
    <t>-25.209461°, -49.304388°</t>
  </si>
  <si>
    <t>-25.655794, -49.341442</t>
  </si>
  <si>
    <t>AA 315689</t>
  </si>
  <si>
    <t>Lei Mun 1275/2021</t>
  </si>
  <si>
    <t>856831.70</t>
  </si>
  <si>
    <t>3460753.40</t>
  </si>
  <si>
    <t>2477999.50</t>
  </si>
  <si>
    <t>751686.00</t>
  </si>
  <si>
    <t>530787.90</t>
  </si>
  <si>
    <t>360000.00</t>
  </si>
  <si>
    <t>370800.00</t>
  </si>
  <si>
    <t>733.00</t>
  </si>
  <si>
    <t>cada estabelecimento faz sua logística reversa</t>
  </si>
  <si>
    <t xml:space="preserve">-25.128712, -49.274855
</t>
  </si>
  <si>
    <t>Rio Negro</t>
  </si>
  <si>
    <t>22305</t>
  </si>
  <si>
    <t>2601/2015</t>
  </si>
  <si>
    <t xml:space="preserve">2601/2015 </t>
  </si>
  <si>
    <t>*</t>
  </si>
  <si>
    <t>Veículos para coleta seletiva de materiais recicláveis, Veículos para coleta de resíduos orgânicos provenientes de podas e jardinagem, Unidade de Triagem de Materiais Recicláveis, Unidade de Compostagem, Ecopontos ou Pontos de Entrega Voluntária, Equipamentos para a unidade de triagem de materiais recicláveis</t>
  </si>
  <si>
    <t>Mafra/SC</t>
  </si>
  <si>
    <t>000: 737349,4906E, 7126194,6298N</t>
  </si>
  <si>
    <t>1. Agrotóxicos, seus resíduos e embalagens - InpEV - Instituto Nacional de Processamento de Embalagens Vazias, 7. Filtros de óleos lubrificantes/ABRAFILTROS – Associação Brasileira das Empresas de Filtros e seus Sistemas Automotivos e Industriais, 13. Óleo Lubrificante e Embalagens de óleos lubrificantes - Instituto Jogue Limpo;, 14. Óleo Lubrificante e Embalagens de óleos lubrificantes - Teclub Indústria e Comércio de Lubrificantes Ltda., 17. Pneus inservíveis - Associação RECICLANIP</t>
  </si>
  <si>
    <t>Rolândia</t>
  </si>
  <si>
    <t>22404</t>
  </si>
  <si>
    <t>Lei Ordinária 3741/2015</t>
  </si>
  <si>
    <t>Decreto 802/2015</t>
  </si>
  <si>
    <t>Veículos para coleta indiferenciada (convencional), Veículos para coleta seletiva de materiais recicláveis, Veículos para coleta de resíduos orgânicos provenientes de podas e jardinagem, Unidade de Triagem de Materiais Recicláveis, Unidade de Compostagem, Ampliação ou adequação de aterro sanitário, Ecopontos ou Pontos de Entrega Voluntária, Equipamentos para a unidade de triagem de materiais recicláveis, Equipamentos para a unidade de compostagem</t>
  </si>
  <si>
    <t>-23.259826957255196, -51.40092156006187</t>
  </si>
  <si>
    <t>Rodovia PR170 - Km 7 - Zona Rural - Rolândia / PR</t>
  </si>
  <si>
    <t>LO 265677 (em processo de renovação)</t>
  </si>
  <si>
    <t>DECRETO Nº 375/2024</t>
  </si>
  <si>
    <t>1830866.08</t>
  </si>
  <si>
    <t>5360485.00</t>
  </si>
  <si>
    <t>212.76</t>
  </si>
  <si>
    <t>90.52</t>
  </si>
  <si>
    <t>647.37</t>
  </si>
  <si>
    <t>0.17</t>
  </si>
  <si>
    <t>907.67</t>
  </si>
  <si>
    <t>1. Agrotóxicos, seus resíduos e embalagens - InpEV - Instituto Nacional de Processamento de Embalagens Vazias, 2. Baterias de chumbo ácido - IBER - Instituto Brasileiro de Energia Reciclável, 3. Eletroeletrônicos e seus componentes - ABREE - Associação Brasileira de Reciclagem de Eletroeletrônicos e Eletrodomésticos;, 8. Lâmpadas fluorescentes, de vapor de sódio e mercúrio e de luz mista - RECICLUS - Associação Brasileira para Gestão da Logística Reversa de Produtos de Iluminação;, 17. Pneus inservíveis - Associação RECICLANIP, 16. Baterias Chumbo-Ácido - Associação Brasileira de Energia Sustentável – ABES</t>
  </si>
  <si>
    <t>Embalagens de papel, Embalagens em geral, Medicamentos de uso humano, Perfurocortantes do GRUPO E, incluindo seringas e canetas injetoras, Pneus inservíveis, Móveis, colchões e demais resíduos volumosos</t>
  </si>
  <si>
    <t>-23.326819, -51.407301</t>
  </si>
  <si>
    <t>Roncador</t>
  </si>
  <si>
    <t>22503</t>
  </si>
  <si>
    <t>Lei Municipal n° 982/2012</t>
  </si>
  <si>
    <t>Lei 10080/2014</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</si>
  <si>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Ampliação ou adequação de aterro sanitário, Ecopontos ou Pontos de Entrega Voluntária, Equipamentos para a unidade de triagem de materiais recicláveis</t>
  </si>
  <si>
    <t>não possui coleta</t>
  </si>
  <si>
    <t>RLAS 334139-R1</t>
  </si>
  <si>
    <t>Rodovia Vassilio Boiko, sn</t>
  </si>
  <si>
    <t>373922.0, 7283754.0</t>
  </si>
  <si>
    <t>Arborização urbana, Outro uso</t>
  </si>
  <si>
    <t>PR 466, Km13</t>
  </si>
  <si>
    <t>Lei Municipal 1408/2022</t>
  </si>
  <si>
    <t>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 17. Pneus inservíveis - Associação RECICLANIP</t>
  </si>
  <si>
    <t>Rosário do Ivaí</t>
  </si>
  <si>
    <t>22651</t>
  </si>
  <si>
    <t>LEI 750/2015- ANO 06/11/2015</t>
  </si>
  <si>
    <t>Veículos para coleta seletiva de materiais recicláveis, Unidade de Triagem de Materiais Recicláveis</t>
  </si>
  <si>
    <t>BOTA FORA</t>
  </si>
  <si>
    <t>KM 02, PE DE GALINHA</t>
  </si>
  <si>
    <t>APUCARANA PR</t>
  </si>
  <si>
    <t>LICENÇA DE OPERAÇÃO/ Nº399148-R2</t>
  </si>
  <si>
    <t>Sabáudia</t>
  </si>
  <si>
    <t>22701</t>
  </si>
  <si>
    <t>Lei 700/2022</t>
  </si>
  <si>
    <t>lei federal 14026/2020</t>
  </si>
  <si>
    <t>não há coleta na área rural</t>
  </si>
  <si>
    <t>Unidade de recebimento de inertes</t>
  </si>
  <si>
    <t>LAS nº 287230</t>
  </si>
  <si>
    <t>Estrada Municipal, SN, Gleba Pau D'Alho</t>
  </si>
  <si>
    <t>-23.303852, -51.574087</t>
  </si>
  <si>
    <t>-23.479035, -51.956023</t>
  </si>
  <si>
    <t>a área é licenciada pelo IAT</t>
  </si>
  <si>
    <t>Perfurocortantes do GRUPO E, incluindo seringas e canetas injetoras, Móveis, colchões e demais resíduos volumosos</t>
  </si>
  <si>
    <t xml:space="preserve">-23.303122, -51.574711
</t>
  </si>
  <si>
    <t>19.746.737-1</t>
  </si>
  <si>
    <t>Salgado Filho</t>
  </si>
  <si>
    <t>22800</t>
  </si>
  <si>
    <t>Consórcio Intermunicipal de Saneamento do Paraná - CISPAR, Consórcio Intermunicipal de Saúde do Sudoeste - CONSUD</t>
  </si>
  <si>
    <t>consud Francisco Beltrão, cispar Maringá</t>
  </si>
  <si>
    <t>Coleta e Transporte, Disposição final, em fase de instalação</t>
  </si>
  <si>
    <t>Nova Esperança do Sudoeste Pr</t>
  </si>
  <si>
    <t>Não Possui grandes geradores</t>
  </si>
  <si>
    <t>não a coleta</t>
  </si>
  <si>
    <t xml:space="preserve">Empresa select </t>
  </si>
  <si>
    <t>Empresa terceirizada fica a responsabilidade da empresa</t>
  </si>
  <si>
    <t>137,000,00</t>
  </si>
  <si>
    <t>sem dados</t>
  </si>
  <si>
    <t>390,00,00</t>
  </si>
  <si>
    <t>15,000,00</t>
  </si>
  <si>
    <t>1. Agrotóxicos, seus resíduos e embalagens - InpEV - Instituto Nacional de Processamento de Embalagens Vazias, 7. Filtros de óleos lubrificantes/ABRAFILTROS – Associação Brasileira das Empresas de Filtros e seus Sistemas Automotivos e Industriais</t>
  </si>
  <si>
    <t>Não possui área degradada ou contaminada, Possui área, já realizou o estudo de caracterização e finalizou os procedimentos de recuperação do local</t>
  </si>
  <si>
    <t>Salto do Itararé</t>
  </si>
  <si>
    <t>22909</t>
  </si>
  <si>
    <t>02/2017</t>
  </si>
  <si>
    <t>02/20217</t>
  </si>
  <si>
    <t>Veículos para coleta indiferenciada (convencional), Unidade de Transbordo</t>
  </si>
  <si>
    <t>FAZENDO SALTO DO ITARARÉ</t>
  </si>
  <si>
    <t>-23.610243, -49.647211</t>
  </si>
  <si>
    <t>-24.600584, -49.987347</t>
  </si>
  <si>
    <t>C226+2R, Piraí do Sul - PR, 84240-000</t>
  </si>
  <si>
    <t>NÃO FAZ</t>
  </si>
  <si>
    <t>NENHUMA DAS OPÇÕES</t>
  </si>
  <si>
    <t>-23.609098, -49.648399</t>
  </si>
  <si>
    <t>Salto do Lontra</t>
  </si>
  <si>
    <t>23006</t>
  </si>
  <si>
    <t>prejudicado</t>
  </si>
  <si>
    <t>https://www.eprotocolo.pr.gov.br/spiweb/validarDocumento.do?action=iniciarProcesso</t>
  </si>
  <si>
    <t>Lei 81/2014 https://leismunicipais.com.br/a/pr/s/salto-do-lontra/lei-ordinaria/2014/9/81/lei-ordinaria-n-81-2014-aprova-o-plano-municipal-de-gestao-integrada-de-residuos-solidos-pmgirs-do-municipio-de-salto-do-lontra-e-da-outras-providencias?q=RES%C3%8DDUOS+S%C3%93LIDOS-PMGIRS</t>
  </si>
  <si>
    <t>CATADORES AUTONOMOS</t>
  </si>
  <si>
    <t>prej. resposta foi sim</t>
  </si>
  <si>
    <t>-25.880009172327515, -53.226905759001035</t>
  </si>
  <si>
    <t>São Luis - Nova Esperança do Sudoeste</t>
  </si>
  <si>
    <t>108/2013</t>
  </si>
  <si>
    <t>1. Agrotóxicos, seus resíduos e embalagens - InpEV - Instituto Nacional de Processamento de Embalagens Vazias, 2. Baterias de chumbo ácido - IBER - Instituto Brasileiro de Energia Reciclável, 8. Lâmpadas fluorescentes, de vapor de sódio e mercúrio e de luz mista - RECICLUS - Associação Brasileira para Gestão da Logística Reversa de Produtos de Iluminação;, 17. Pneus inservíveis - Associação RECICLANIP</t>
  </si>
  <si>
    <t>Agrotóxicos, seus resíduos e embalagens, Eletroeletrônicos e seus componentes, Filtros de óleos lubrificantes, Lâmpadas fluorescentes, de vapor de sódio e mercúrio e de luz mista, Pneus inservíveis</t>
  </si>
  <si>
    <t>Santa Amélia</t>
  </si>
  <si>
    <t>23105</t>
  </si>
  <si>
    <t>Lei 1437/2017</t>
  </si>
  <si>
    <t>Não há no município grandes geradores de Resíduos Sólidos</t>
  </si>
  <si>
    <t>Veículos para coleta de resíduos orgânicos provenientes de podas e jardinagem, Veículos para a coleta de resíduos orgânicos (sobras alimentares)</t>
  </si>
  <si>
    <t>Poder Público e catadores de recicláveis não cooperados</t>
  </si>
  <si>
    <t>utilizados em aterros de construção civil</t>
  </si>
  <si>
    <t>Catadores não cooperados (individuais)</t>
  </si>
  <si>
    <t>Assaí - PR</t>
  </si>
  <si>
    <t>-23.402830 -50.845852</t>
  </si>
  <si>
    <t>Sanetran - Assaí - PR</t>
  </si>
  <si>
    <t>Há impermeabilização no fundo e nas laterais (geomembrana), Há coleta de chorume, Realiza o monitoramento de corpos hídricos no entorno</t>
  </si>
  <si>
    <t>Tem mas não recebi a informação ainda.</t>
  </si>
  <si>
    <t>Valor fixo por imóvel., Frequência de coleta</t>
  </si>
  <si>
    <t>1049/2000</t>
  </si>
  <si>
    <t>O município realiza a coleta e entrega ao aterro de assaí.</t>
  </si>
  <si>
    <t>Secretraia Municipal de obras e Secretaria de Meio ambiente</t>
  </si>
  <si>
    <t>logística reversa localizadas no comércio</t>
  </si>
  <si>
    <t>-23.273520861473603, -50.41244652309551</t>
  </si>
  <si>
    <t>Santa Cecília do Pavão</t>
  </si>
  <si>
    <t>23204</t>
  </si>
  <si>
    <t>Lei 957/2019</t>
  </si>
  <si>
    <t>Local específico para destinação de RCC</t>
  </si>
  <si>
    <t>-23.402763°, -50.845383°</t>
  </si>
  <si>
    <t>Sanetran -Seccao Figueira, Lotes 135 A1, 135 Ba1, 136 A1, Assai - PR</t>
  </si>
  <si>
    <t>Há impermeabilização no fundo e nas laterais (geomembrana), Há coleta de chorume, Há tratamento do chorume (IN 33/2025 e Portaria IAP 259/2014)</t>
  </si>
  <si>
    <t>02109</t>
  </si>
  <si>
    <t>Astorga</t>
  </si>
  <si>
    <t>Santa Cruz de Monte Castelo</t>
  </si>
  <si>
    <t>23303</t>
  </si>
  <si>
    <t>Loanda - PR</t>
  </si>
  <si>
    <t>LEI N°159/2011 DE 27/10/2011</t>
  </si>
  <si>
    <t>LEI 042/2015</t>
  </si>
  <si>
    <t>Veículos para coleta de resíduos orgânicos provenientes de podas e jardinagem, Veículos para a coleta de resíduos orgânicos (sobras alimentares), Ampliação ou adequação de aterro sanitário, Equipamentos para a unidade de compostagem</t>
  </si>
  <si>
    <t>APROVEITAMENTO EM CASCALHO DE ESTRADAS RURAIS</t>
  </si>
  <si>
    <t xml:space="preserve">SANTA CRUZ DE MONTE CASTELO </t>
  </si>
  <si>
    <t>-22.976653272760828, -53.28929475788221</t>
  </si>
  <si>
    <t>RUA PÉRSIA (ESTRADA DO CEMITÉRIO) CONSTITUÍDA POR PARTE DAS CHACARAS N°190 E 226 DA GLEBA 23</t>
  </si>
  <si>
    <t>Há flare/queimador dos gases gerados, sem aproveitamento energético, Há impermeabilização no fundo e nas laterais (geomembrana), Há coleta de chorume, Realiza a cobertura diária dos resíduos</t>
  </si>
  <si>
    <t>PEDIDO DE LICENÇA DE OPERAÇÃO, N° DO PROTOCOLO 16.604.163-5</t>
  </si>
  <si>
    <t>LEI COMPLEMENTAR Nº 1/2006</t>
  </si>
  <si>
    <t>Antigo Lixão Municipal: -22.977117284256064, -53.290992188318945
Área localizada ao fim da Avenida Paraná: -22.956319452979812, -53.30703533436138</t>
  </si>
  <si>
    <t>Santa Fé</t>
  </si>
  <si>
    <t>23402</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</si>
  <si>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agrossilvopastoris, Resíduos de mineração</t>
  </si>
  <si>
    <t>LEI N° 2.171/2021</t>
  </si>
  <si>
    <t>LEI N°. 2.214/2022</t>
  </si>
  <si>
    <t>Veículos para coleta indiferenciada (convencional), Veículos para coleta seletiva de materiais recicláveis, Veículos para coleta de resíduos orgânicos provenientes de podas e jardinagem, Veículos para a coleta de resíduos orgânicos (sobras alimentares), Equipamentos para a unidade de triagem de materiais recicláveis</t>
  </si>
  <si>
    <t>Secretaria de obras Rua Goiás esquina com Rua Curitiba, 245 – Centro</t>
  </si>
  <si>
    <t>Rua Goiás esquina com Rua Curitiba, 245 – Centro</t>
  </si>
  <si>
    <t xml:space="preserve"> Estrada  Rural Municipal Peron, à Gleba Interventor, 5ª Secção</t>
  </si>
  <si>
    <t>Há impermeabilização no fundo e nas laterais (geomembrana), Há coleta de chorume, Há sistema de detecção de vazamento do percolado sob a impermeabilização (IN 33/2025)</t>
  </si>
  <si>
    <t>Lei Federal nº 14026/2020</t>
  </si>
  <si>
    <t>SEM DADOS</t>
  </si>
  <si>
    <t>3. Eletroeletrônicos e seus componentes - ABREE - Associação Brasileira de Reciclagem de Eletroeletrônicos e Eletrodomésticos;, 8. Lâmpadas fluorescentes, de vapor de sódio e mercúrio e de luz mista - RECICLUS - Associação Brasileira para Gestão da Logística Reversa de Produtos de Iluminação;, 9. Medicamentos de uso humano - BHS Comercio e Serviços de Produtos para Saúde LTDA.;, 12. Medicamentos de uso veterinário - BHS Comércio e Serviços de Produtos para Saúde LTDA,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t>
  </si>
  <si>
    <t>Baterias de chumbo ácido, Eletroeletrônicos e seus componentes, Lâmpadas fluorescentes, de vapor de sódio e mercúrio e de luz mista, Medicamentos de uso humano, Medicamentos de uso veterinário, Pilhas e baterias portáteis, Pneus inservíveis</t>
  </si>
  <si>
    <t>Santa Helena</t>
  </si>
  <si>
    <t>23501</t>
  </si>
  <si>
    <t xml:space="preserve">Está em fase inicial </t>
  </si>
  <si>
    <t>lei ordinária 2215/2021</t>
  </si>
  <si>
    <t>Lei Ordinária nº 2674/2018</t>
  </si>
  <si>
    <t>Lei nº 14.026/2020</t>
  </si>
  <si>
    <t>Lei Ordinária 2215 2012</t>
  </si>
  <si>
    <t>2215/2012</t>
  </si>
  <si>
    <t xml:space="preserve">LAS </t>
  </si>
  <si>
    <t>CHÁCARA NÚMERO 58, ESTRADA MUNICIPAL , S/N – CEP: 85892-000 – SANTA HELENA/PR.</t>
  </si>
  <si>
    <t>24°51'24"S 54°19'16</t>
  </si>
  <si>
    <t>Há canalização do gás, Há flare/queimador dos gases gerados, sem aproveitamento energético, Há aproveitamento energético do gás gerado (geradores), Há impermeabilização no fundo e nas laterais (geomembrana), Há coleta de chorume, Há tratamento do chorume (IN 33/2025 e Portaria IAP 259/2014), Há poços de monitoramento, Há sistema de detecção de vazamento do percolado sob a impermeabilização (IN 33/2025), Realiza a cobertura diária dos resíduos</t>
  </si>
  <si>
    <t>RLO (RENOVAÇÃO DE LICENÇA AMBIENTAL)</t>
  </si>
  <si>
    <t>LEI COMPLEMENTAR 11/2022</t>
  </si>
  <si>
    <t>-24.855892 -54.321439</t>
  </si>
  <si>
    <t>14302</t>
  </si>
  <si>
    <t>Mandirituba</t>
  </si>
  <si>
    <t>23808</t>
  </si>
  <si>
    <t>Lei N° 2592/2023</t>
  </si>
  <si>
    <t>Resolução N° 003/MRAE-3/2024 - Microrregião Oeste</t>
  </si>
  <si>
    <t>Ecopontos ou Pontos de Entrega Voluntária, Equipamentos para a unidade de triagem de materiais recicláveis</t>
  </si>
  <si>
    <t>Lei N° 2592/2023, Decreto N° 3591/2023</t>
  </si>
  <si>
    <t>Linha São Luiz, S/N</t>
  </si>
  <si>
    <t>Não temos essa informação.</t>
  </si>
  <si>
    <t>A fração do orgânico e rejeito vai para aterro sem realizar a triagem no município.</t>
  </si>
  <si>
    <t>Características dos lotes (dimensões, área edificável, localização, potencial construtivo, etc.), Peso ou o volume médio coletado</t>
  </si>
  <si>
    <t>Lei Complementar N° 05/2009</t>
  </si>
  <si>
    <t>Área da edificação, Quantidade de resíduos gerada</t>
  </si>
  <si>
    <t>Santa Lúcia</t>
  </si>
  <si>
    <t>23824</t>
  </si>
  <si>
    <t>Ñ tem</t>
  </si>
  <si>
    <t>SANEPAR</t>
  </si>
  <si>
    <t xml:space="preserve">Esta em processo de construção </t>
  </si>
  <si>
    <t>Veículos para coleta indiferenciada (convencional), Veículos para coleta seletiva de materiais recicláveis, Veículos para coleta de resíduos orgânicos provenientes de podas e jardinagem, Veículos para a coleta de resíduos orgânicos (sobras alimentares), Unidade de Compostagem, Ampliação ou adequação de aterro sanitário, Equipamentos para a unidade de compostagem</t>
  </si>
  <si>
    <t xml:space="preserve">Santa Lúcia </t>
  </si>
  <si>
    <t>25°24'21.3"S 53°32'58.4"W</t>
  </si>
  <si>
    <t xml:space="preserve">Estrada para linha São Pedro </t>
  </si>
  <si>
    <t>Em processo de LO</t>
  </si>
  <si>
    <t>17/2017</t>
  </si>
  <si>
    <t>1. Agrotóxicos, seus resíduos e embalagens - InpEV - Instituto Nacional de Processamento de Embalagens Vazias,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17. Pneus inservíveis - Associação RECICLANIP</t>
  </si>
  <si>
    <t>Medicamentos de uso humano, Perfurocortantes do GRUPO E, incluindo seringas e canetas injetoras, Móveis, colchões e demais resíduos volumosos</t>
  </si>
  <si>
    <t>Santa Maria do Oeste</t>
  </si>
  <si>
    <t>23857</t>
  </si>
  <si>
    <t>contrato de programa</t>
  </si>
  <si>
    <t>Veículos para coleta indiferenciada (convencional), Veículos para coleta seletiva de materiais recicláveis, Unidade de Triagem de Materiais Recicláveis, Ampliação ou adequação de aterro sanitário, Ecopontos ou Pontos de Entrega Voluntária, Equipamentos para a unidade de triagem de materiais recicláveis</t>
  </si>
  <si>
    <t>Reaproveitamento em canteiro de obras</t>
  </si>
  <si>
    <t>-24.976977, -51.835168</t>
  </si>
  <si>
    <t>Estrada Santa Maria a Campina do Simão</t>
  </si>
  <si>
    <t>Lei nº 526/2018 – Santa Maria do Oeste – PR.</t>
  </si>
  <si>
    <t>Santa Mariana</t>
  </si>
  <si>
    <t>23907</t>
  </si>
  <si>
    <t>Cispar - Maringa, Codenop - São Jerônimo da Serra</t>
  </si>
  <si>
    <t>não participamos de consórcios de RSU</t>
  </si>
  <si>
    <t>LEI N“ 1563/2023</t>
  </si>
  <si>
    <t>Lei Municipal 922/2010</t>
  </si>
  <si>
    <t>LEI 12.305/10</t>
  </si>
  <si>
    <t>Veículos para coleta indiferenciada (convencional), Veículos para coleta seletiva de materiais recicláveis, Veículos para coleta de resíduos orgânicos provenientes de podas e jardinagem, Unidade de Triagem de Materiais Recicláveis, Unidade de Compostagem, Unidade de Transbordo, Ecopontos ou Pontos de Entrega Voluntária, Equipamentos para a unidade de triagem de materiais recicláveis</t>
  </si>
  <si>
    <t>LEI 1098/2015</t>
  </si>
  <si>
    <t>315252-R3</t>
  </si>
  <si>
    <t>Estrada do Matadouro</t>
  </si>
  <si>
    <t>-23.12928564514195, -50.520479707412164</t>
  </si>
  <si>
    <t>pontos</t>
  </si>
  <si>
    <t xml:space="preserve">Londrina </t>
  </si>
  <si>
    <t>-23.397420792376344, -51.13089264220704</t>
  </si>
  <si>
    <t>Rod. Celso Garcia Cid, 12633. - Zona Rural, Londrina - PR, 86170-000</t>
  </si>
  <si>
    <t>não tenho todas as informações quanto ao que a Kurica tem</t>
  </si>
  <si>
    <t>não fazemos triagem</t>
  </si>
  <si>
    <t>Agrotóxicos, seus resíduos e embalagens, Lâmpadas fluorescentes, de vapor de sódio e mercúrio e de luz mista, Pilhas e baterias portáteis, Pneus inservíveis, Móveis, colchões e demais resíduos volumosos</t>
  </si>
  <si>
    <t>-23.129205747797005, -50.52024900404195</t>
  </si>
  <si>
    <t>10102</t>
  </si>
  <si>
    <t>Imbituva</t>
  </si>
  <si>
    <t>20903</t>
  </si>
  <si>
    <t>Quedas do Iguaçu</t>
  </si>
  <si>
    <t>04253</t>
  </si>
  <si>
    <t>Campo Magro</t>
  </si>
  <si>
    <t>Santa Terezinha de Itaipu</t>
  </si>
  <si>
    <t>24053</t>
  </si>
  <si>
    <t>não participa de consórcio</t>
  </si>
  <si>
    <t>nao participa de consórcio</t>
  </si>
  <si>
    <t>lei complementar 259/2023</t>
  </si>
  <si>
    <t>LEI 1505/2013</t>
  </si>
  <si>
    <t>LEI 1838/2018</t>
  </si>
  <si>
    <t>Veículos para coleta indiferenciada (convencional), Veículos para a coleta de resíduos orgânicos (sobras alimentares), Ampliação ou adequação de aterro sanitário</t>
  </si>
  <si>
    <t xml:space="preserve">NÃO HA COLETA </t>
  </si>
  <si>
    <t>SANTA TEREZINHA DE ITAIPU</t>
  </si>
  <si>
    <t>-25.38930755020528, -54.43150754073524</t>
  </si>
  <si>
    <t>COMUNIDADE TRES FAZENDAS</t>
  </si>
  <si>
    <t>Há canalização do gás, Há impermeabilização no fundo e nas laterais (geomembrana), Há coleta de chorume, Há tratamento do chorume (IN 33/2025 e Portaria IAP 259/2014)</t>
  </si>
  <si>
    <t>LO 293955</t>
  </si>
  <si>
    <t>LEI Nº 1838/2019</t>
  </si>
  <si>
    <t>3.781.384,72 anual</t>
  </si>
  <si>
    <t>nao tem transbordo</t>
  </si>
  <si>
    <t>1. Agrotóxicos, seus resíduos e embalagens - InpEV - Instituto Nacional de Processamento de Embalagens Vazias, 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17. Pneus inservíveis - Associação RECICLANIP</t>
  </si>
  <si>
    <t>-25.38832061344976, -54.42772949746446</t>
  </si>
  <si>
    <t>Santana do Itararé</t>
  </si>
  <si>
    <t>24004</t>
  </si>
  <si>
    <t>Consórcio Intermunicipal de Desenvolvimento Regional do Território de Divisa Norte do Paraná - CODREN</t>
  </si>
  <si>
    <t>Wenceslau Braz</t>
  </si>
  <si>
    <t>Veículos para coleta indiferenciada (convencional), Veículos para coleta de resíduos orgânicos provenientes de podas e jardinagem, Unidade de Triagem de Materiais Recicláveis, Ecopontos ou Pontos de Entrega Voluntária, Equipamentos para a unidade de triagem de materiais recicláveis</t>
  </si>
  <si>
    <t>LICENÇA DE OPERAÇÃO  344044</t>
  </si>
  <si>
    <t>S.D.E, SN</t>
  </si>
  <si>
    <t>634403.6-7373280.0</t>
  </si>
  <si>
    <t>SIM</t>
  </si>
  <si>
    <t>634293.4-7373167.4</t>
  </si>
  <si>
    <t>S.D.E S/N</t>
  </si>
  <si>
    <t>LICENÇA DE OPERAÇÃO 344044</t>
  </si>
  <si>
    <t xml:space="preserve">nao sei </t>
  </si>
  <si>
    <t>Santo Antônio da Platina</t>
  </si>
  <si>
    <t>24103</t>
  </si>
  <si>
    <t>Não aplica</t>
  </si>
  <si>
    <t>Não Participa de consórcio</t>
  </si>
  <si>
    <t>Lei nº 1.649, de 29 de setembro de 2017</t>
  </si>
  <si>
    <t>Veículos para coleta indiferenciada (convencional), Ecopontos ou Pontos de Entrega Voluntária</t>
  </si>
  <si>
    <t>Bairro Santa Joana, PR 439</t>
  </si>
  <si>
    <t>-23.328965140058248, -50.13237023125776</t>
  </si>
  <si>
    <t>Não possui.
Aterro Sanitário</t>
  </si>
  <si>
    <t>Assaí/PR
Próprio Município</t>
  </si>
  <si>
    <t>Assaí: -23.40333965155611, -50.84576777801279
Próprio município: -23.328855° , -50.130817°</t>
  </si>
  <si>
    <t>Assaí, PR, 86220-000
Bairro Santa Joana, PR 439, Km 13</t>
  </si>
  <si>
    <t>L O nº 233695-R3</t>
  </si>
  <si>
    <t>LEI Nº 2.218, DE 29 DE OUTUBRO DE 2024</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</si>
  <si>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14. Óleo Lubrificante e Embalagens de óleos lubrificantes - Teclub Indústria e Comércio de Lubrificantes Ltda., 17. Pneus inservíveis - Associação RECICLANIP</t>
  </si>
  <si>
    <t>-23.330056319415696, -50.13023757685989</t>
  </si>
  <si>
    <t>Autorização Ambienta nº 62398</t>
  </si>
  <si>
    <t>Santo Antônio do Caiuá</t>
  </si>
  <si>
    <t>24202</t>
  </si>
  <si>
    <t xml:space="preserve">Paranavaí </t>
  </si>
  <si>
    <t>Coleta e Transporte, Transbordo, Disposição final</t>
  </si>
  <si>
    <t xml:space="preserve">Não possuí </t>
  </si>
  <si>
    <t xml:space="preserve">Sim </t>
  </si>
  <si>
    <t>Lei 1102/2013</t>
  </si>
  <si>
    <t>Lei 1369/2022</t>
  </si>
  <si>
    <t>Veículos para coleta seletiva de materiais recicláveis, Equipamentos para a unidade de triagem de materiais recicláveis</t>
  </si>
  <si>
    <t>Estrada Marabá s/n</t>
  </si>
  <si>
    <t xml:space="preserve">Aterro Maringá </t>
  </si>
  <si>
    <t>Há coleta de chorume, Há tratamento do chorume (IN 33/2025 e Portaria IAP 259/2014), Há poços de monitoramento</t>
  </si>
  <si>
    <t>Lei 954/2009</t>
  </si>
  <si>
    <t xml:space="preserve">Não sei </t>
  </si>
  <si>
    <t>3. Eletroeletrônicos e seus componentes - ABREE - Associação Brasileira de Reciclagem de Eletroeletrônicos e Eletrodomésticos;,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t>
  </si>
  <si>
    <t>Embalagens de papel, Embalagens em geral, Filtros de óleos lubrificantes, Lâmpadas fluorescentes, de vapor de sódio e mercúrio e de luz mista, Óleo Lubrificante e Embalagens de óleos lubrificantes, Pilhas e baterias portáteis, Pneus inservíveis</t>
  </si>
  <si>
    <t>Santo Antônio do Paraíso</t>
  </si>
  <si>
    <t>24301</t>
  </si>
  <si>
    <t>ok</t>
  </si>
  <si>
    <t>em estudo</t>
  </si>
  <si>
    <t>aterro</t>
  </si>
  <si>
    <t>coleta com caminhão</t>
  </si>
  <si>
    <t>coletores sem organização em grupo</t>
  </si>
  <si>
    <t>Assai - Pr</t>
  </si>
  <si>
    <t>Sanetran, municipio de Assai - Pr</t>
  </si>
  <si>
    <t>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12. Medicamentos de uso veterinário - BHS Comércio e Serviços de Produtos para Saúde LTDA, 13. Óleo Lubrificante e Embalagens de óleos lubrificantes - Instituto Jogue Limpo;, 14. Óleo Lubrificante e Embalagens de óleos lubrificantes - Teclub Indústria e Comércio de Lubrificantes Ltda.</t>
  </si>
  <si>
    <t>Santo Antônio do Sudoeste</t>
  </si>
  <si>
    <t>24400</t>
  </si>
  <si>
    <t>Veículos para coleta indiferenciada (convencional), Veículos para coleta seletiva de materiais recicláveis, Veículos para coleta de resíduos orgânicos provenientes de podas e jardinagem, Unidade de Triagem de Materiais Recicláveis, Unidade de Compostagem, Unidade de Transbordo, Ecopontos ou Pontos de Entrega Voluntária, Equipamentos para a unidade de triagem de materiais recicláveis, Equipamentos para a unidade de compostagem, ESTRUTURAS PARA INSTLAÇOES DE ENERGIA SOLAR</t>
  </si>
  <si>
    <t>NOVA ESPERANÇA DO SUDOESTE PR</t>
  </si>
  <si>
    <t>NAO SE APLICA</t>
  </si>
  <si>
    <t>o Municipio executa o processo de reciclagem por meio de associação:</t>
  </si>
  <si>
    <t>a separação e feita por associação de reciclagem</t>
  </si>
  <si>
    <t>LICANÇA AMBIENTAL SIMPLIFICADA</t>
  </si>
  <si>
    <t>CONTA DE ÁGUA</t>
  </si>
  <si>
    <t>150,0O</t>
  </si>
  <si>
    <t>8.330.00</t>
  </si>
  <si>
    <t>COMURB</t>
  </si>
  <si>
    <t>18. Produtos saneantes domissanitários desinfestantes - ABRASSAM - Associação Brasileira das Empresas Fabricantes de Produtos Saneantes Domissanitários Desinfestantes</t>
  </si>
  <si>
    <t>Santo Inácio</t>
  </si>
  <si>
    <t>24509</t>
  </si>
  <si>
    <t>Melhorias das estradas rurais</t>
  </si>
  <si>
    <t>LSA 338443</t>
  </si>
  <si>
    <t>Estrada Municipal S/N próximo a Avenida Raposo Tavares</t>
  </si>
  <si>
    <t>415002.0-7487035.8</t>
  </si>
  <si>
    <t>Regente Feijó/SP</t>
  </si>
  <si>
    <t>22°17'56.4"S 51°15'45.9"W</t>
  </si>
  <si>
    <t>Rod. Estrada RGF, 479, Setor Corrego Azul, Faz Garcia.</t>
  </si>
  <si>
    <t>Há canalização do gás, Há coleta de chorume, Há poços de monitoramento, Realiza o monitoramento de corpos hídricos no entorno</t>
  </si>
  <si>
    <t>LAS 12004459</t>
  </si>
  <si>
    <t>Não arrecada</t>
  </si>
  <si>
    <t>não localizada</t>
  </si>
  <si>
    <t>14104</t>
  </si>
  <si>
    <t>Mandaguaçu</t>
  </si>
  <si>
    <t>São Carlos do Ivaí</t>
  </si>
  <si>
    <t>24608</t>
  </si>
  <si>
    <t xml:space="preserve">Paranavai </t>
  </si>
  <si>
    <t xml:space="preserve">Aterro de paranavai </t>
  </si>
  <si>
    <t>15/2021</t>
  </si>
  <si>
    <t>Veículos para coleta seletiva de materiais recicláveis, Unidade de Triagem de Materiais Recicláveis, Unidade de Compostagem, Equipamentos para a unidade de triagem de materiais recicláveis, Equipamentos para a unidade de compostagem</t>
  </si>
  <si>
    <t xml:space="preserve">Não sabemos informar </t>
  </si>
  <si>
    <t>Empresa privada (terceirizada), Autarquia, Consórcio</t>
  </si>
  <si>
    <t>Há poços de monitoramento, Realiza a cobertura diária dos resíduos, Realiza o monitoramento de corpos hídricos no entorno</t>
  </si>
  <si>
    <t>Conselho Municipal de Meio Ambiente e ou Saneamento Ambiental, Não foi instituído mecanismo de controle social</t>
  </si>
  <si>
    <t>São Jerônimo da Serra</t>
  </si>
  <si>
    <t>24707</t>
  </si>
  <si>
    <t>sao jeronimo da serra</t>
  </si>
  <si>
    <t>o consorcio nao possui</t>
  </si>
  <si>
    <t>lei 08 2019</t>
  </si>
  <si>
    <t>assai</t>
  </si>
  <si>
    <t>latitude -23.397592graus longitude -50.820552graus</t>
  </si>
  <si>
    <t>acesso secção figueira lotes 135a1 135ba1 136a1 s/n anexo pr 090 zona rural assai/pr</t>
  </si>
  <si>
    <t>Há canalização do gás, Há flare/queimador dos gases gerados, sem aproveitamento energético, Há aproveitamento energético do gás gerado (geradores), Há impermeabilização no fundo e nas laterais (geomembrana), Há coleta de chorume, Há tratamento do chorume (IN 33/2025 e Portaria IAP 259/2014), Há poços de monitoramento, Há sistema de detecção de vazamento do percolado sob a impermeabilização (IN 33/2025)</t>
  </si>
  <si>
    <t>lei 097 2022</t>
  </si>
  <si>
    <t>latitude -23.714557graus longitude -50.731965graus</t>
  </si>
  <si>
    <t>São João</t>
  </si>
  <si>
    <t>24806</t>
  </si>
  <si>
    <t>Dois vizinhos</t>
  </si>
  <si>
    <t>11445- 05/01/2007</t>
  </si>
  <si>
    <t>Local destinado aos inertes</t>
  </si>
  <si>
    <t>Linha Planalto</t>
  </si>
  <si>
    <t>-25.80283-52.727142</t>
  </si>
  <si>
    <t>-25.797267-53.028699</t>
  </si>
  <si>
    <t>Linha Dois Vizinhos...zona rural PR281</t>
  </si>
  <si>
    <t>A terceirizada que possui a responsabilidade do tratamento correto.dos residuos</t>
  </si>
  <si>
    <t>Triagem apenas do.lixo.seco</t>
  </si>
  <si>
    <t>Ver</t>
  </si>
  <si>
    <t>São João do Caiuá</t>
  </si>
  <si>
    <t>24905</t>
  </si>
  <si>
    <t>Consórcio Intermunicipal Caiuá Ambiental - CICA, CISPAR</t>
  </si>
  <si>
    <t>PARANAVAI PR</t>
  </si>
  <si>
    <t xml:space="preserve">O município não exige Plano de Gerenciamento de Resíduos Sólidos, </t>
  </si>
  <si>
    <t>LEI 2268/2015</t>
  </si>
  <si>
    <t>DECRETO ESTADUAL 12.687 /29/11/2022</t>
  </si>
  <si>
    <t>LEI 2544/2021</t>
  </si>
  <si>
    <t>Veículos para coleta seletiva de materiais recicláveis, Veículos para a coleta de resíduos orgânicos (sobras alimentares), Unidade de Triagem de Materiais Recicláveis</t>
  </si>
  <si>
    <t>-23.105226218618103, -52.4037478738261</t>
  </si>
  <si>
    <t>ATERRO SANITARIO DE PARANAVAI</t>
  </si>
  <si>
    <t>NÃO SE APLICA A TRIAGEM</t>
  </si>
  <si>
    <t>LICENÇA SIMPLIFICADA 317887</t>
  </si>
  <si>
    <t>LEI 919/1993</t>
  </si>
  <si>
    <t>16.000.00</t>
  </si>
  <si>
    <t>ÃO SE APLICA</t>
  </si>
  <si>
    <t>Possui área degradada ou contaminada, Possui área e já realizou o estudo de  caracterização do local, Possui área, já realizou o estudo de  caracterização e iniciou os procedimentos de recuperação do local, Possui área, já realizou o estudo de caracterização e finalizou os procedimentos de recuperação do local</t>
  </si>
  <si>
    <t>-22.86115301038686, -52.318776579566716 OU -22.85974437873654, -52.31850299493673 OU -22.84651653537232, -52.34010372555853</t>
  </si>
  <si>
    <t>São João do Ivaí</t>
  </si>
  <si>
    <t>25001</t>
  </si>
  <si>
    <t>Consórcio Intermunicipal de Saneamento do Paraná - CISPAR, Consórcio Público Intermunicipal de Atenção a Sanidade Agropecuária, Desenvolvimento Rural e Urbano Sustentável da Região Central do Estado do Paraná - CID CENTRO.</t>
  </si>
  <si>
    <t>ivaiporã</t>
  </si>
  <si>
    <t xml:space="preserve">Equipamentos e Licitações  </t>
  </si>
  <si>
    <t>Resíduos dos serviços públicos de saneamento básico, Resíduos industriais, Resíduos de serviços de saúde, Resíduos da construção civil, Resíduos dos estabelecimentos comerciais e de prestação de serviços que geram resíduos perigosos ou resíduos que não sejam equiparados aos resíduos domiciliares, Resíduos de serviços de transportes, Resíduos agrossilvopastoris</t>
  </si>
  <si>
    <t>LAS 280553</t>
  </si>
  <si>
    <t xml:space="preserve">GLEBA MACACO S/Nº </t>
  </si>
  <si>
    <t>419399.0 - 7343250.8</t>
  </si>
  <si>
    <t>452879.0 - 7390732.2</t>
  </si>
  <si>
    <t>Estrada Barra Nova, 1500, gleba Nova Ucrânia</t>
  </si>
  <si>
    <t>Lei Ordinária 1828/2014</t>
  </si>
  <si>
    <t>Conselho Municipal de Meio Ambiente e ou Saneamento Ambiental, Outro Conselho Municipal, Outras Formas de Controle Social</t>
  </si>
  <si>
    <t>Eletroeletrônicos e seus componentes, Embalagens de aço, Embalagens de papel, Embalagens em geral, Pneus inservíveis</t>
  </si>
  <si>
    <t>Possui área e já realizou o estudo de  caracterização do local, Possui área, já realizou o estudo de caracterização e finalizou os procedimentos de recuperação do local</t>
  </si>
  <si>
    <t>São João do Triunfo</t>
  </si>
  <si>
    <t>25100</t>
  </si>
  <si>
    <t>Não partecipa de consorcio</t>
  </si>
  <si>
    <t>Lei 2095/2022</t>
  </si>
  <si>
    <t>Veículos para coleta indiferenciada (convencional), Veículos para coleta de resíduos orgânicos provenientes de podas e jardinagem, Unidade de Triagem de Materiais Recicláveis, Unidade de Compostagem, Ecopontos ou Pontos de Entrega Voluntária</t>
  </si>
  <si>
    <t>-26.182697  -49.879174</t>
  </si>
  <si>
    <t>MARGENS ROD. BR-280, KM 168,5, S/N, RIO BRANCO</t>
  </si>
  <si>
    <t>LAO 2353</t>
  </si>
  <si>
    <t>Lei 08/2021</t>
  </si>
  <si>
    <t>São Jorge do Ivaí</t>
  </si>
  <si>
    <t>25308</t>
  </si>
  <si>
    <t>Transbordo, Tratamento</t>
  </si>
  <si>
    <t>Lei 56/2015</t>
  </si>
  <si>
    <t>Veículos para coleta seletiva de materiais recicláveis, Veículos para coleta de resíduos orgânicos provenientes de podas e jardinagem, Veículos para a coleta de resíduos orgânicos (sobras alimentares), caminhão compactador, caminhão basculante, trator agrícola com reboque, caminhão com carroceria, caminhão pipa, pá carregadeira case e pá carregadeira PESA100</t>
  </si>
  <si>
    <t>recuperação de estradas e erosões</t>
  </si>
  <si>
    <t>Jardins públicos, Doados à população, Outro uso</t>
  </si>
  <si>
    <t xml:space="preserve"> N/A</t>
  </si>
  <si>
    <t>Zone: 22 K, 402372.35 m E, 7403129.10 m S</t>
  </si>
  <si>
    <t xml:space="preserve">Estr. São José, km 04 - lote 47 </t>
  </si>
  <si>
    <t>RLO - RENOVAÇÃO DE LICENÇA DE OPERAÇÃO, NÚMERO DA LICENÇA: 282578</t>
  </si>
  <si>
    <t>Lei nº 14/2000</t>
  </si>
  <si>
    <t>Conselho Municipal de Meio Ambiente e ou Saneamento Ambiental, Conselho Municipal de Educação Ambiental</t>
  </si>
  <si>
    <t>não há nenhum desses</t>
  </si>
  <si>
    <t>Zone: 22 K, 370047.90 m E, 7414158.46 m S</t>
  </si>
  <si>
    <t>Nº DO PROTOCOLO: 18.912.496-1</t>
  </si>
  <si>
    <t>São Jorge do Patrocínio</t>
  </si>
  <si>
    <t>25357</t>
  </si>
  <si>
    <t xml:space="preserve">Não participa de nenhum consórcio, Convênio com o Município de Esperança Nova - PR </t>
  </si>
  <si>
    <t xml:space="preserve">SÃO JORGE DO PATROCÍNIO </t>
  </si>
  <si>
    <t>LEI Nº 1.660/2012</t>
  </si>
  <si>
    <t>19 de julho de 2012</t>
  </si>
  <si>
    <t>Julho de 2021</t>
  </si>
  <si>
    <t>Veículos para coleta seletiva de materiais recicláveis, Veículos para coleta de resíduos orgânicos provenientes de podas e jardinagem, Veículos para a coleta de resíduos orgânicos (sobras alimentares), Unidade de Triagem de Materiais Recicláveis, Unidade de Transbordo, Ampliação ou adequação de aterro sanitário, Ecopontos ou Pontos de Entrega Voluntária, Equipamentos para a unidade de triagem de materiais recicláveis</t>
  </si>
  <si>
    <t>São Jorge do Patrocínio - PR</t>
  </si>
  <si>
    <t>208460.6 - 7371473.6</t>
  </si>
  <si>
    <t>Rodovia - PR 587, estrada Pedreira, lote 430, Km 2,5, s/n</t>
  </si>
  <si>
    <t>LO - 332197-R4</t>
  </si>
  <si>
    <t>Lei complementar 01/2017</t>
  </si>
  <si>
    <t>Baterias de chumbo ácido, Eletroeletrônicos e seus componentes, Embalagens de aço, Embalagens de papel, Embalagens em geral, Lâmpadas fluorescentes, de vapor de sódio e mercúrio e de luz mista, Pilhas e baterias portáteis, Pneus inservíveis, Móveis, colchões e demais resíduos volumosos</t>
  </si>
  <si>
    <t>São Jorge d'Oeste</t>
  </si>
  <si>
    <t>25209</t>
  </si>
  <si>
    <t>Não participa de consórcio.</t>
  </si>
  <si>
    <t>Resolução 003/MRAE-3/2024</t>
  </si>
  <si>
    <t>Decreto 1719/2013</t>
  </si>
  <si>
    <t>O plano está desatualizado.</t>
  </si>
  <si>
    <t>1716.59</t>
  </si>
  <si>
    <t>45.3</t>
  </si>
  <si>
    <t>32.2</t>
  </si>
  <si>
    <t>22.5</t>
  </si>
  <si>
    <t>Não é feita a coleta.</t>
  </si>
  <si>
    <t>7 famílias</t>
  </si>
  <si>
    <t>-25.795211°, -53.028317°</t>
  </si>
  <si>
    <t>Estrada Rural, s/nº Linha São Roque - CEP: 85660000 - BAIRRO: Linha São Roque</t>
  </si>
  <si>
    <t>LO - 249506</t>
  </si>
  <si>
    <t>IPTU + FATURA DE ÁGUA</t>
  </si>
  <si>
    <t>FATURA DE ÁGUA: CONSUMO DE ÁGUA (m³) / IPTU: ÁREA CONSTRUÍDA (m²)</t>
  </si>
  <si>
    <t>Lei Complementar n° 01, 29/09/2021.</t>
  </si>
  <si>
    <t>....</t>
  </si>
  <si>
    <t>-25.705677; -52.899633°</t>
  </si>
  <si>
    <t>25605</t>
  </si>
  <si>
    <t>São Mateus do Sul</t>
  </si>
  <si>
    <t>São José da Boa Vista</t>
  </si>
  <si>
    <t>25407</t>
  </si>
  <si>
    <t>Santana do Itarare</t>
  </si>
  <si>
    <t>Veículos para coleta indiferenciada (convencional), Veículos para coleta de resíduos orgânicos provenientes de podas e jardinagem, Veículos para a coleta de resíduos orgânicos (sobras alimentares), Unidade de Triagem de Materiais Recicláveis, Unidade de Compostagem, Equipamentos para a unidade de triagem de materiais recicláveis, Equipamentos para a unidade de compostagem</t>
  </si>
  <si>
    <t>santana do itarare</t>
  </si>
  <si>
    <t>23.746638 - 49.681749</t>
  </si>
  <si>
    <t>BR 272</t>
  </si>
  <si>
    <t>Lei nº 518/1999</t>
  </si>
  <si>
    <t>41275.52</t>
  </si>
  <si>
    <t>1262821.65</t>
  </si>
  <si>
    <t>110528.56</t>
  </si>
  <si>
    <t>1528.62</t>
  </si>
  <si>
    <t>1159.23</t>
  </si>
  <si>
    <t>82429.81</t>
  </si>
  <si>
    <t>23.942805 - 49.654031</t>
  </si>
  <si>
    <t>São José das Palmeiras</t>
  </si>
  <si>
    <t>25456</t>
  </si>
  <si>
    <t>Vera Cruz do Oeste - PR</t>
  </si>
  <si>
    <t>medianeira</t>
  </si>
  <si>
    <t>lEI Nº 533/2013</t>
  </si>
  <si>
    <t>LEI Nº 11.445 , 21/06/2012</t>
  </si>
  <si>
    <t>Lei nº 622/2019 /decreto nº/012/2019</t>
  </si>
  <si>
    <t>LEIei Nº 622/2019 - DATA: 27 DE MARÇO DE 2019</t>
  </si>
  <si>
    <t>0000000</t>
  </si>
  <si>
    <t>licença operacional - 193007</t>
  </si>
  <si>
    <t>Estrada Gameleira, São Jose das Palmeiras - PR</t>
  </si>
  <si>
    <t>24°49'33.5"S 54°03'40.5"W</t>
  </si>
  <si>
    <t>SAO JOSE DAS PALMEIRAS</t>
  </si>
  <si>
    <t>Estrada Gameleira - Município Sao jose das Palmeiras</t>
  </si>
  <si>
    <t>Há canalização do gás, Há aproveitamento energético do gás gerado (geradores), Há poços de monitoramento, Realiza a cobertura diária dos resíduos</t>
  </si>
  <si>
    <t>LEI 17/1990</t>
  </si>
  <si>
    <t>360,17/TON</t>
  </si>
  <si>
    <t xml:space="preserve">137,96/TON  </t>
  </si>
  <si>
    <t>841,68/TON</t>
  </si>
  <si>
    <t>Eletroeletrônicos e seus componentes, Embalagens de papel, Embalagens em geral, Lâmpadas fluorescentes, de vapor de sódio e mercúrio e de luz mista, Pilhas e baterias portáteis, Pneus inservíveis</t>
  </si>
  <si>
    <t>-24,8263565   / -54,0619731</t>
  </si>
  <si>
    <t>São José dos Pinhais</t>
  </si>
  <si>
    <t>25506</t>
  </si>
  <si>
    <t>Decreto nº2.630 de 04/04/2017</t>
  </si>
  <si>
    <t>Resíduos industriais, Resíduos de serviços de saúde, Resíduos da construção civil, Resíduos dos estabelecimentos comerciais e de prestação de serviços que geram resíduos perigosos ou resíduos que não sejam equiparados aos resíduos domiciliares, Resíduos de serviços de transportes, Resíduos agrossilvopastoris, O município não exige Plano de Gerenciamento de Resíduos Sólidos</t>
  </si>
  <si>
    <t>LEI Nº 2.234, DE 19 DE AGOSTO DE 2013</t>
  </si>
  <si>
    <t>LEI Nº 2.869, DE 18 DE JULHO DE 2017</t>
  </si>
  <si>
    <t>Veículos para coleta seletiva de materiais recicláveis, Veículos para coleta de resíduos orgânicos provenientes de podas e jardinagem, Veículos para a coleta de resíduos orgânicos (sobras alimentares), Unidade de Triagem de Materiais Recicláveis, Unidade de Transbordo, Ecopontos ou Pontos de Entrega Voluntária, Equipamentos para a unidade de compostagem, Sacolão verde</t>
  </si>
  <si>
    <t>LEI Nº 3.206, DE 4 DE JANEIRO DE 2019</t>
  </si>
  <si>
    <t>Empresa de reaproveitamento</t>
  </si>
  <si>
    <t>LICENÇA DE OPERAÇÃO 284168</t>
  </si>
  <si>
    <t>Rua Eugênio Moro, 1000 bairro Del Rey</t>
  </si>
  <si>
    <t>-25.592318577032483, -49.16715535426345</t>
  </si>
  <si>
    <t>Porta-a-porta, Pontos de entrega voluntária, Conteinerizada, Sacolão verde</t>
  </si>
  <si>
    <t>-25.662457354097683, -49.338838556709334</t>
  </si>
  <si>
    <t>Lei Complementar nº 183 de 19/12/2024</t>
  </si>
  <si>
    <t>128.23</t>
  </si>
  <si>
    <t>589.80</t>
  </si>
  <si>
    <t>0.0</t>
  </si>
  <si>
    <t>Conselho Municipal de Meio Ambiente e ou Saneamento Ambiental, Conferencias, seminarios</t>
  </si>
  <si>
    <t>3. Eletroeletrônicos e seus componentes - ABREE - Associação Brasileira de Reciclagem de Eletroeletrônicos e Eletrodomésticos;, 4. Eletroeletrônicos e seus componentes - GREEN ELETRON - Gestora para Resíduos de Equipamentos Eletroeletrônicos Nacional, 8. Lâmpadas fluorescentes, de vapor de sódio e mercúrio e de luz mista - RECICLUS - Associação Brasileira para Gestão da Logística Reversa de Produtos de Iluminação;, 16. Pilhas e baterias portáteis - ABREE - Associação Brasileira de Reciclagem de Eletroeletrônicos e Eletrodomésticos, 17. Pneus inservíveis - Associação RECICLANIP, Xibiu pneu</t>
  </si>
  <si>
    <t>06407</t>
  </si>
  <si>
    <t>Cornélio Procópio</t>
  </si>
  <si>
    <t>São Manoel do Paraná</t>
  </si>
  <si>
    <t>25555</t>
  </si>
  <si>
    <t>24/2014</t>
  </si>
  <si>
    <t>propriedade separada</t>
  </si>
  <si>
    <t>a cooperativa é de outro município, cadastrados lá.</t>
  </si>
  <si>
    <t>o próprio</t>
  </si>
  <si>
    <t>-52.65029087865593 -23.416370020725925</t>
  </si>
  <si>
    <t>Estrada Prefeito João Pereira Pinto, sn</t>
  </si>
  <si>
    <t>Conselho Municipal de Meio Ambiente e ou Saneamento Ambiental, Quando necessário, Audiência Pública</t>
  </si>
  <si>
    <t>Eletroeletrônicos e seus componentes, Lâmpadas fluorescentes, de vapor de sódio e mercúrio e de luz mista, Pneus inservíveis</t>
  </si>
  <si>
    <t>São Miguel do Iguaçu</t>
  </si>
  <si>
    <t>25704</t>
  </si>
  <si>
    <t>O Plano Municipal de Saneamento Básico (PMSB) de São Miguel do Iguaçu foi instituído pela Lei Ordinária nº 2607, de 2014.</t>
  </si>
  <si>
    <t>O ato legal que instituiu o Plano Municipal de Gestão Integrada de Resíduos Sólidos (PMGIRS) em São Miguel do Iguaçu, PR, foi a Lei Ordinária nº 2606, de 2014.</t>
  </si>
  <si>
    <t>Unidade de Triagem de Materiais Recicláveis, Ampliação ou adequação de aterro sanitário, Ecopontos ou Pontos de Entrega Voluntária, Equipamentos para a unidade de triagem de materiais recicláveis</t>
  </si>
  <si>
    <t>Não se aplica.</t>
  </si>
  <si>
    <t>-25.261797806671414, -54.23670417752022</t>
  </si>
  <si>
    <t>Rua Sete, Distrito de Vila Ipiranga, São Miguel do Iguaçu-PR.</t>
  </si>
  <si>
    <t>Licença de Instalação nº 8664.</t>
  </si>
  <si>
    <t>Lei nº 2.873, de 20 de dezembro de 2016.</t>
  </si>
  <si>
    <t>Protocolo nº 18.862.914-8</t>
  </si>
  <si>
    <t>São Pedro do Iguaçu</t>
  </si>
  <si>
    <t>25753</t>
  </si>
  <si>
    <t>Vera Cruz Do Oeste</t>
  </si>
  <si>
    <t>Pavimentação</t>
  </si>
  <si>
    <t>A Lei Municipal nº 819/2015, de 01/01/2015, instituiu o Plano Municipal de Gerenciamento Integrado de Resíduos Sólidos (PMGIRS) no município      Essa norma foi revogada e substituída pela Lei Municipal nº 1014/2019, publicada em 15 de outubro de 2019, que atualmente disciplina a gestão integrada de resíduos sólidos e contempla disposições sobre grandes geradores no âmbito municipa</t>
  </si>
  <si>
    <t>Lei Municipal nº 747/2013, publicada em 05 de setembro de 2013, com o propósito de instituir o Plano Municipal de Saneamento Básico (PMSB) no município, incluindo os serviços de água, esgoto, limpeza urbana, resíduos sólidos e drenagem urbana    Posteriormente, essa lei foi revogada pela Lei Municipal nº 951/2018, publicada em 21 de março de 2018, que estabeleceu a Política Municipal de Saneamento Básico, criou o Conselho Municipal de Saneamento e o Fundo Municipal de Saneamento Básico, mantendo o PMSB como instrumento central da política local</t>
  </si>
  <si>
    <t>Não hÁ</t>
  </si>
  <si>
    <t>Lei Municipal nº 819/2015, publicada em 1º de janeiro de 2015, que aprovou o PMGIRS original do município     Essa lei foi posteriormente revogada e substituída pela Lei Municipal nº 1014/2019, publicada em 15 de outubro de 2019, que atualmente disciplina a Gestão Integrada de Resíduos Sólidos no município, incluindo o PMGIRS vigente</t>
  </si>
  <si>
    <t>Veículos para coleta indiferenciada (convencional), Veículos para coleta seletiva de materiais recicláveis, Ecopontos ou Pontos de Entrega Voluntária, Equipamentos para a unidade de compostagem</t>
  </si>
  <si>
    <t>LAS 22.670.126-5</t>
  </si>
  <si>
    <t>Area Rural</t>
  </si>
  <si>
    <t>-20132820 -7237726.20</t>
  </si>
  <si>
    <t>Por Linhas</t>
  </si>
  <si>
    <t>-211238.20 -7237726.20</t>
  </si>
  <si>
    <t>Cascavel-PR</t>
  </si>
  <si>
    <t xml:space="preserve">1. Agrotóxicos, seus resíduos e embalagens - InpEV - Instituto Nacional de Processamento de Embalagens Vazias, </t>
  </si>
  <si>
    <t xml:space="preserve">Agrotóxicos, seus resíduos e embalagens, Filtros de óleos lubrificantes, </t>
  </si>
  <si>
    <t>São Pedro do Ivaí</t>
  </si>
  <si>
    <t>25803</t>
  </si>
  <si>
    <t>não foi encontrado</t>
  </si>
  <si>
    <t>248.4</t>
  </si>
  <si>
    <t>Aterro de RCC</t>
  </si>
  <si>
    <t>Eixo estrada rural, Gleba Pombal, s/n</t>
  </si>
  <si>
    <t>-23.8488630; -51.8509107</t>
  </si>
  <si>
    <t>103.5</t>
  </si>
  <si>
    <t>não há controle</t>
  </si>
  <si>
    <t>aterro de RCC (-23.8099772;-51.8225424) ; Aterro em Apucarana (-23.59105;-51.46385)</t>
  </si>
  <si>
    <t>Eixo estrada Rural Gleba  Cambará, São Pedro do Ivaí; Estrada Barra Nova, 1500 - Gleba Nova Ucrania, Apucarana - PR APUCARANA, PR</t>
  </si>
  <si>
    <t>Próprio município, Empresa privada (terceirizada)</t>
  </si>
  <si>
    <t xml:space="preserve">Nenhuma das opções anteriores são feitas, A prefeitura não tem informações sobre o detalhamento da infraestrutura do aterro tercerizado, apenas que ele tem licença ambiental para sua operação. </t>
  </si>
  <si>
    <t>o municipio não realiza</t>
  </si>
  <si>
    <t>para o aterro de RCC: 	302.512</t>
  </si>
  <si>
    <t>Eletroeletrônicos e seus componentes, Embalagens de papel, Embalagens em geral, Pilhas e baterias portáteis, Móveis, colchões e demais resíduos volumosos</t>
  </si>
  <si>
    <t xml:space="preserve">-23.809006, -51.823233
</t>
  </si>
  <si>
    <t xml:space="preserve">21.617.972-2 </t>
  </si>
  <si>
    <t>São Sebastião da Amoreira</t>
  </si>
  <si>
    <t>26009</t>
  </si>
  <si>
    <t>LEI Nº 1.631/2019, DE 20 DE AGOSTO DE 2019.</t>
  </si>
  <si>
    <t>Resíduos industriais, Resíduos de serviços de saúde, Resíduos dos estabelecimentos comerciais e de prestação de serviços que geram resíduos perigosos ou resíduos que não sejam equiparados aos resíduos domiciliares, Resíduos agrossilvopastoris, resíduos especiais</t>
  </si>
  <si>
    <t>LEI MUNICIPAL Nº 1.170/2012</t>
  </si>
  <si>
    <t>ASSAÍ-PR</t>
  </si>
  <si>
    <t>-23.403826° -50.846227°</t>
  </si>
  <si>
    <t>Zona rural, S/N, secção cebolão., Assaí-PR</t>
  </si>
  <si>
    <t>nenhuma</t>
  </si>
  <si>
    <t>Licença de operação - 233695-R3</t>
  </si>
  <si>
    <t>classe do imóvel e do usuário</t>
  </si>
  <si>
    <t>LEI MUNICIPAL N. 1242/2013</t>
  </si>
  <si>
    <t>Eletroeletrônicos e seus componentes, Embalagens de aço, Embalagens de papel, Embalagens em geral, Pilhas e baterias portáteis, Pneus inservíveis, Produtos saneantes domissanitários desinfestantes, Móveis, colchões e demais resíduos volumosos</t>
  </si>
  <si>
    <t>-23.480240° -50.780376°</t>
  </si>
  <si>
    <t>PROTOCOLO N. 22.373.459-6</t>
  </si>
  <si>
    <t>São Tomé</t>
  </si>
  <si>
    <t>26108</t>
  </si>
  <si>
    <t>997/2021</t>
  </si>
  <si>
    <t>200/2019</t>
  </si>
  <si>
    <t>03</t>
  </si>
  <si>
    <t>esta em processo de licenciamento</t>
  </si>
  <si>
    <t>estrada municipal do rodeio</t>
  </si>
  <si>
    <t>23°32'51.56''S/52°35'10.92''O</t>
  </si>
  <si>
    <t>23°37'4.93''S / 52°38'14.73''O</t>
  </si>
  <si>
    <t>Pr 082</t>
  </si>
  <si>
    <t>Há canalização do gás, Há flare/queimador dos gases gerados, sem aproveitamento energético, Há impermeabilização no fundo e nas laterais (geomembrana), Há tratamento do chorume (IN 33/2025 e Portaria IAP 259/2014), Há poços de monitoramento, Há sistema de detecção de vazamento do percolado sob a impermeabilização (IN 33/2025), Realiza a cobertura diária dos resíduos, Realiza o monitoramento de corpos hídricos no entorno</t>
  </si>
  <si>
    <t xml:space="preserve">para o aterro não vai materiais recicláveis </t>
  </si>
  <si>
    <t>Sapopema</t>
  </si>
  <si>
    <t>26207</t>
  </si>
  <si>
    <t>figueira</t>
  </si>
  <si>
    <t>Curiuva</t>
  </si>
  <si>
    <t>10936/2022</t>
  </si>
  <si>
    <t>Veículos para coleta seletiva de materiais recicláveis, Veículos para coleta de resíduos orgânicos provenientes de podas e jardinagem, Veículos para a coleta de resíduos orgânicos (sobras alimentares), Unidade de Triagem de Materiais Recicláveis, Equipamentos para a unidade de triagem de materiais recicláveis</t>
  </si>
  <si>
    <t>12.305/2010</t>
  </si>
  <si>
    <t xml:space="preserve"> 24° 2'22.23"S  50°29'59.80"O</t>
  </si>
  <si>
    <t>curiuva</t>
  </si>
  <si>
    <t xml:space="preserve"> 24° 2'22.23"S 50°29'59.80"O</t>
  </si>
  <si>
    <t>Empresa privada (terceirizada), Empresa privada (via consórcio), Empresa privada e gestão pública</t>
  </si>
  <si>
    <t>3919/2010</t>
  </si>
  <si>
    <t>28203</t>
  </si>
  <si>
    <t>União da Vitória</t>
  </si>
  <si>
    <t>15804</t>
  </si>
  <si>
    <t>Medianeira</t>
  </si>
  <si>
    <t>Serranópolis do Iguaçu</t>
  </si>
  <si>
    <t>26355</t>
  </si>
  <si>
    <t>LEI Nº 1.128, DE 23 DE DEZEMBRO DE 2013</t>
  </si>
  <si>
    <t>Decreto Nº 120/2012 de 08/08/2012</t>
  </si>
  <si>
    <t>487.77</t>
  </si>
  <si>
    <t>bota fora (áreas de passivo ambiental)</t>
  </si>
  <si>
    <t>LAS n.º 284192</t>
  </si>
  <si>
    <t>Linha Formosa, 00, Área Rural, Serranópolis do Iguaçu/PR</t>
  </si>
  <si>
    <t>-25.41636898424286, -54.05646965797262</t>
  </si>
  <si>
    <t>Ainda não realiza nenhuma ação, Compostagem comunitária em escolas, associações de moradores, hortas comunitárias, Trituração e compostagem dos resíduos verdes (provenientes de podas e jardinagem)</t>
  </si>
  <si>
    <t>-24.98384420402278, -53.29636439159966</t>
  </si>
  <si>
    <t>LEI Nº 1.113, DE 26 DE NOVEMBRO DE 2013</t>
  </si>
  <si>
    <t>252658.30</t>
  </si>
  <si>
    <t>216870.15</t>
  </si>
  <si>
    <t>444.61</t>
  </si>
  <si>
    <t>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8. Lâmpadas fluorescentes, de vapor de sódio e mercúrio e de luz mista - RECICLUS - Associação Brasileira para Gestão da Logística Reversa de Produtos de Iluminação;, 13. Óleo Lubrificante e Embalagens de óleos lubrificantes - Instituto Jogue Limpo;, 17. Pneus inservíveis - Associação RECICLANIP</t>
  </si>
  <si>
    <t>-25.415713523058955, -54.05644365313698</t>
  </si>
  <si>
    <t>Processo 23.604.500-5</t>
  </si>
  <si>
    <t>Sertaneja</t>
  </si>
  <si>
    <t>26405</t>
  </si>
  <si>
    <t>outras finalidades</t>
  </si>
  <si>
    <t>Resíduos dos serviços públicos de saneamento básico, Resíduos industriais, Resíduos de serviços de saúde, Resíduos dos estabelecimentos comerciais e de prestação de serviços que geram resíduos perigosos ou resíduos que não sejam equiparados aos resíduos domiciliares, Resíduos agrossilvopastoris</t>
  </si>
  <si>
    <t>Lei  Municipal n° 1803/2015 de 15 de Julho de 2015</t>
  </si>
  <si>
    <t>Veículos para coleta seletiva de materiais recicláveis, Veículos para coleta de resíduos orgânicos provenientes de podas e jardinagem, Unidade de Compostagem, Equipamentos para a unidade de triagem de materiais recicláveis, Equipamentos para a unidade de compostagem</t>
  </si>
  <si>
    <t>Área de triagem e transbordo de RCC, Aterro controlado</t>
  </si>
  <si>
    <t>o próprio municipio</t>
  </si>
  <si>
    <t>-23.05991   -50.85042</t>
  </si>
  <si>
    <t>Fazenda São Jorge</t>
  </si>
  <si>
    <t>Realiza o monitoramento de corpos hídricos no entorno</t>
  </si>
  <si>
    <t>a triagem é feita pela empresa terceirizada</t>
  </si>
  <si>
    <t>LP 218069436</t>
  </si>
  <si>
    <t>LEI COMPLEMENTAR Nº 71, DE 23 DE MARÇO DE 2017</t>
  </si>
  <si>
    <t>O município não atingi valores mínimos</t>
  </si>
  <si>
    <t>-23.04718   -50.82552</t>
  </si>
  <si>
    <t>13.337.753-0</t>
  </si>
  <si>
    <t>Sertanópolis</t>
  </si>
  <si>
    <t>26504</t>
  </si>
  <si>
    <t>928/1990</t>
  </si>
  <si>
    <t>3.176/2022</t>
  </si>
  <si>
    <t xml:space="preserve">Área de triagem e transbordo de RCC, pev ponto de entrega voluntária </t>
  </si>
  <si>
    <t>496491.91 m E 496491.91 m E</t>
  </si>
  <si>
    <t xml:space="preserve">PR 090 AGUA DO COURO DO BOI </t>
  </si>
  <si>
    <t>Há canalização do gás, Há impermeabilização no fundo e nas laterais (geomembrana), Há poços de monitoramento, Realiza a cobertura diária dos resíduos</t>
  </si>
  <si>
    <t>1.263/2003</t>
  </si>
  <si>
    <t>Sulina</t>
  </si>
  <si>
    <t>26652</t>
  </si>
  <si>
    <t>Lei Municipal 780/2013</t>
  </si>
  <si>
    <t>cada usuário destina à sua forma</t>
  </si>
  <si>
    <t>Não há coleta formal, mas coletas eventuais frequentes.</t>
  </si>
  <si>
    <t>Coronel Vivida PR</t>
  </si>
  <si>
    <t xml:space="preserve">                                                                                                                                                                                                                                                                                                                                                                                                                                                                                   </t>
  </si>
  <si>
    <t xml:space="preserve"> Rod BR 158 Km 498, Alto Palmeirinha - Coronel Vivida/PR</t>
  </si>
  <si>
    <t>Licença de operação no IAT</t>
  </si>
  <si>
    <t>Lei 1080/2021</t>
  </si>
  <si>
    <t>-25.693563 -52.738303</t>
  </si>
  <si>
    <t>Tamarana</t>
  </si>
  <si>
    <t>26678</t>
  </si>
  <si>
    <t>Lei Municipal nº 1.305/2018</t>
  </si>
  <si>
    <t>Lei Municipal nº 998/2013</t>
  </si>
  <si>
    <t>Unidade de Triagem de Materiais Recicláveis, Unidade de Transbordo</t>
  </si>
  <si>
    <t>LAS nº 185660</t>
  </si>
  <si>
    <t>Rodovia Victório Francovig, Km 01, Parque Industrial, Tamarana-PR</t>
  </si>
  <si>
    <t>-23.720873° -51.107969°</t>
  </si>
  <si>
    <t>-23.404878° -51.120285°</t>
  </si>
  <si>
    <t>Rodovia Celso Garcia Cid, 12633, Gleba Vafezal, Londrina-PR</t>
  </si>
  <si>
    <t>-23.733896° -51.086935°</t>
  </si>
  <si>
    <t>Tamboara</t>
  </si>
  <si>
    <t>26702</t>
  </si>
  <si>
    <t>LEI Nº 23, DE 14 DE AGOSTO DE 2013</t>
  </si>
  <si>
    <t>LEI Nº 23, DE 14 DE AGOSTO DE 2013/452.012, 18/12/2012.</t>
  </si>
  <si>
    <t>Veículos para coleta seletiva de materiais recicláveis, Veículos para coleta de resíduos orgânicos provenientes de podas e jardinagem, Veículos para a coleta de resíduos orgânicos (sobras alimentares), Unidade de Triagem de Materiais Recicláveis, Unidade de Transbordo, Equipamentos para a unidade de triagem de materiais recicláveis</t>
  </si>
  <si>
    <t>não há coleta</t>
  </si>
  <si>
    <t>474.8</t>
  </si>
  <si>
    <t>Paranavái</t>
  </si>
  <si>
    <t>-23.10408222317888, -52.405468015563955</t>
  </si>
  <si>
    <t>Área Rural, Sumaré</t>
  </si>
  <si>
    <t>RLO 307.053</t>
  </si>
  <si>
    <t>-23.181273305020312, -52.498651365286335</t>
  </si>
  <si>
    <t>Tapejara</t>
  </si>
  <si>
    <t>26801</t>
  </si>
  <si>
    <t>Jussara - PR</t>
  </si>
  <si>
    <t>Não posui</t>
  </si>
  <si>
    <t>Lei Municipal n.º 1841, de 15 de Março de 2016</t>
  </si>
  <si>
    <t>Poder público, Empresa privada (terceirizada), Associações e cooperativas de catadores de materiais recicláveis</t>
  </si>
  <si>
    <t>TAPEJARA</t>
  </si>
  <si>
    <t>-23.694081 -52.847776</t>
  </si>
  <si>
    <t>Estrada Bernadelli</t>
  </si>
  <si>
    <t>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8. Lâmpadas fluorescentes, de vapor de sódio e mercúrio e de luz mista - RECICLUS - Associação Brasileira para Gestão da Logística Reversa de Produtos de Iluminação;, 17. Pneus inservíveis - Associação RECICLANIP</t>
  </si>
  <si>
    <t>Tapira</t>
  </si>
  <si>
    <t>26900</t>
  </si>
  <si>
    <t>Veículos para coleta seletiva de materiais recicláveis, Unidade de Compostagem, Ecopontos ou Pontos de Entrega Voluntária, Equipamentos para a unidade de compostagem</t>
  </si>
  <si>
    <t>Depositada em área de armazenamento</t>
  </si>
  <si>
    <t>-23.334037, -53.053831</t>
  </si>
  <si>
    <t>Rodovia Moacyr Loures Pacheco PR 482</t>
  </si>
  <si>
    <t>028/1990</t>
  </si>
  <si>
    <t>27007</t>
  </si>
  <si>
    <t xml:space="preserve">Não participamos de consórcio </t>
  </si>
  <si>
    <t xml:space="preserve">Município não possui plano de resíduos sólidos </t>
  </si>
  <si>
    <t xml:space="preserve">Nao ha </t>
  </si>
  <si>
    <t xml:space="preserve">Plano em fase de execução </t>
  </si>
  <si>
    <t xml:space="preserve">Teixeira Soares </t>
  </si>
  <si>
    <t>-25.2032891 -50.2928953</t>
  </si>
  <si>
    <t xml:space="preserve">Povoado assentamento Ernesto Che guevara </t>
  </si>
  <si>
    <t xml:space="preserve">Não tenho acesso a essas informações </t>
  </si>
  <si>
    <t xml:space="preserve">Não realiza triagem </t>
  </si>
  <si>
    <t xml:space="preserve">Sem acesso a essa informação </t>
  </si>
  <si>
    <t xml:space="preserve">Sem informações </t>
  </si>
  <si>
    <t>Telêmaco Borba</t>
  </si>
  <si>
    <t>27106</t>
  </si>
  <si>
    <t>Consórcio Intermunicipal de Desenvolvimento Regional Caminhos do Tibagi</t>
  </si>
  <si>
    <t>Telemaco Borba</t>
  </si>
  <si>
    <t>Imbau</t>
  </si>
  <si>
    <t>Lei 2254/2018</t>
  </si>
  <si>
    <t>Lei complementar 63/2019</t>
  </si>
  <si>
    <t>Veículos para coleta seletiva de materiais recicláveis, Veículos para coleta de resíduos orgânicos provenientes de podas e jardinagem, Veículos para a coleta de resíduos orgânicos (sobras alimentares), Unidade de Triagem de Materiais Recicláveis, Unidade de Transbordo, Ecopontos ou Pontos de Entrega Voluntária, Equipamentos para a unidade de triagem de materiais recicláveis</t>
  </si>
  <si>
    <t>Empresa terceirizada</t>
  </si>
  <si>
    <t>LAS 276660</t>
  </si>
  <si>
    <t>Rua Ipiranga s/n bairro Triangulo</t>
  </si>
  <si>
    <t>Utn 533697.2/ 7 303576.0</t>
  </si>
  <si>
    <t>Ainda não realiza nenhuma ação, Incentivo à compostagem doméstica, Compostagem comunitária em escolas, associações de moradores, hortas comunitárias, Trituração e compostagem dos resíduos verdes (provenientes de podas e jardinagem), Galpão de compostagem, Pátio de compostagem</t>
  </si>
  <si>
    <t>Lo 572319.45/ 7215004.90</t>
  </si>
  <si>
    <t>Estrda Otilia.c Guimarães Km 03</t>
  </si>
  <si>
    <t>Lo</t>
  </si>
  <si>
    <t>Lei complementar 48/2018</t>
  </si>
  <si>
    <t>4 .860.754,26</t>
  </si>
  <si>
    <t>Eletroeletrônicos e seus componentes, Embalagens de papel, Embalagens em geral, Lâmpadas fluorescentes, de vapor de sódio e mercúrio e de luz mista</t>
  </si>
  <si>
    <t>Terra Boa</t>
  </si>
  <si>
    <t>27205</t>
  </si>
  <si>
    <t>SANEPAR - DESTINAÇÃO FINAL DO LIXO DOMICILIAR</t>
  </si>
  <si>
    <t>SANEPAR - CIANORTE-PR</t>
  </si>
  <si>
    <t xml:space="preserve">CIANORTE - PR </t>
  </si>
  <si>
    <t>Não possui, CONSTA NO PLANO DIRETOR E CÓDIGO DE POSTURA</t>
  </si>
  <si>
    <t>EM ANDAMENTO</t>
  </si>
  <si>
    <t>ESTA EM ANDAMENTO</t>
  </si>
  <si>
    <t>https://terraboa.pr.gov.br/wp-content/uploads/2025/04/2021-PLANO-DE-GESTAO-INTEGRADA-DE-RESIDUOS-SOLIDOS-URBANOS-DO-MUNICIPIO-DE-TERRA-BOA-2021-PR.pdf</t>
  </si>
  <si>
    <t>Veículos para coleta indiferenciada (convencional), Veículos para coleta seletiva de materiais recicláveis, Veículos para coleta de resíduos orgânicos provenientes de podas e jardinagem, Veículos para a coleta de resíduos orgânicos (sobras alimentares), Unidade de Triagem de Materiais Recicláveis, Unidade de Compostagem, Unidade de Transbordo, Ecopontos ou Pontos de Entrega Voluntária, Equipamentos para a unidade de triagem de materiais recicláveis, Equipamentos para a unidade de compostagem, TRITURADORES DE ENTULHOS E GALHOS E VOLUMOSOS DE GRANDE PORTE.</t>
  </si>
  <si>
    <t>LICENÇA TRIPLA</t>
  </si>
  <si>
    <t>ESTRADA ANDICO 200 - TERRA BOA-PR</t>
  </si>
  <si>
    <t>-23.471867 S  -52.263989 O</t>
  </si>
  <si>
    <t>CIANORTE</t>
  </si>
  <si>
    <t>-23.37515 S -52.381551 O</t>
  </si>
  <si>
    <t>PR 082</t>
  </si>
  <si>
    <t xml:space="preserve">NÃO TEM </t>
  </si>
  <si>
    <t>LEI N.° 1.735/2022 DE 14/12/2022</t>
  </si>
  <si>
    <t>-23.443704 S -52.261137 O</t>
  </si>
  <si>
    <t>Terra Rica</t>
  </si>
  <si>
    <t>27304</t>
  </si>
  <si>
    <t>Londrina PR</t>
  </si>
  <si>
    <t>412.009 06/08/2009</t>
  </si>
  <si>
    <t>LAS 331539</t>
  </si>
  <si>
    <t>Subdivisão das chácaras 43, 45, 119 3 121 - Gleba Sinop - Terra Rica/PR</t>
  </si>
  <si>
    <t>-22.706812593925815, -52.63099834099674</t>
  </si>
  <si>
    <t>-23.404729230415644, -51.12003119384983</t>
  </si>
  <si>
    <t>RLO 316.149</t>
  </si>
  <si>
    <t xml:space="preserve">não houve </t>
  </si>
  <si>
    <t>-22.738532481829413, -52.63610580587133</t>
  </si>
  <si>
    <t>Terra Roxa</t>
  </si>
  <si>
    <t>27403</t>
  </si>
  <si>
    <t>LEI Nº 1433, DE 19 DE ABRIL DE 2016</t>
  </si>
  <si>
    <t>LEI Nº 2.113, DE 11 DE JUNHO DE 2024</t>
  </si>
  <si>
    <t>LEI DA CAÇAMBA</t>
  </si>
  <si>
    <t xml:space="preserve">RUA PROLONGADA AVENIDA DA SAUDADE </t>
  </si>
  <si>
    <t>25.426535  -49.264986</t>
  </si>
  <si>
    <t>ATERRO CONTROLADO</t>
  </si>
  <si>
    <t>-24.153733, -54.082749</t>
  </si>
  <si>
    <t>ESTRADA R1</t>
  </si>
  <si>
    <t>RENOVAÇÃO</t>
  </si>
  <si>
    <t>NÃO COBRAMOS PELO SERVIÇO</t>
  </si>
  <si>
    <t>Tibagi</t>
  </si>
  <si>
    <t>27502</t>
  </si>
  <si>
    <t>Programas. Patrulha Pró Rural. Caminhão de Sinalização Horizontal Urbana. Locação de mão de obra. Atualmente o Consórcio não tem atividades relacionadas ao aterro.</t>
  </si>
  <si>
    <t>Lei Municipal nº 3067/2023</t>
  </si>
  <si>
    <t>Exige PGRS dos estabelecimentos para liberação de Certidão de Anuência.</t>
  </si>
  <si>
    <t>Lei Municipal nº 2682/2017</t>
  </si>
  <si>
    <t>Veículos para coleta indiferenciada (convencional), Veículos para coleta seletiva de materiais recicláveis, Unidade de Triagem de Materiais Recicláveis, Unidade de Compostagem, Ampliação ou adequação de aterro sanitário, Ecopontos ou Pontos de Entrega Voluntária</t>
  </si>
  <si>
    <t>Contratação de empresas particulares para esse fim</t>
  </si>
  <si>
    <t>LO nº 221210</t>
  </si>
  <si>
    <t>DT RURAL CAMPO DO PIRAÍ, S/N - INTERIOR - PIRAÍ DO SUL/PR - CEP 84240-000</t>
  </si>
  <si>
    <t>602468.2  7278979.6</t>
  </si>
  <si>
    <t>-24.5274148255700332  -50.43486764170877</t>
  </si>
  <si>
    <t>RODOVIA TIBAGI À CAETANO MENDES KM 01, S/N - DISTRITO INDUSTRIAL - TIBAGI/PR - CEP 84300-000</t>
  </si>
  <si>
    <t>LO nº 161994-R1</t>
  </si>
  <si>
    <t>Lei Municipal nº 1869/2003</t>
  </si>
  <si>
    <t>Desconhece-se a existência de sistemas de logística reversa operando no município</t>
  </si>
  <si>
    <t>Sem dados.</t>
  </si>
  <si>
    <t>São 2 áreas.  -24.31213  -50.2714  e -24.3126  -50.2539</t>
  </si>
  <si>
    <t>Tijucas do Sul</t>
  </si>
  <si>
    <t>27601</t>
  </si>
  <si>
    <t>CONRESOL -Consórcio intermunicipal para gestão de resíduos sólidos</t>
  </si>
  <si>
    <t>CISPAR/Maringá - CONRESOL/Fazenda Rio Grande</t>
  </si>
  <si>
    <t>Coleta e Transporte, Disposição final, CISPAR - Envio de equipamentos para a associação de reciclagem</t>
  </si>
  <si>
    <t>CONTRATO 14/2014 CARTA COMVITE 5/2014 - pmts</t>
  </si>
  <si>
    <t>PODER PÚBLICO E TERCEIRIZADA</t>
  </si>
  <si>
    <t>Iremos buscar informações com consórcio</t>
  </si>
  <si>
    <t>Conta de água e boleto específico</t>
  </si>
  <si>
    <t>LC 03/2021</t>
  </si>
  <si>
    <t>Eletroeletrônicos e seus componentes, Embalagens de papel</t>
  </si>
  <si>
    <t>26256</t>
  </si>
  <si>
    <t>Sarandi</t>
  </si>
  <si>
    <t>Toledo</t>
  </si>
  <si>
    <t>27700</t>
  </si>
  <si>
    <t>Outras finalidades multifinalitárias que não fazem parte da gestão de RSU</t>
  </si>
  <si>
    <t>Lei Municipal n° 2051, de 27/12/2010</t>
  </si>
  <si>
    <t>Lei Municipal n° 2098, de 25/05/2012</t>
  </si>
  <si>
    <t>Lei Municipal n° 2105, de 22/06/2012</t>
  </si>
  <si>
    <t>44.3</t>
  </si>
  <si>
    <t>29.7</t>
  </si>
  <si>
    <t>673.6</t>
  </si>
  <si>
    <t>Aterro de Resíduos da Construção Civil</t>
  </si>
  <si>
    <t>-24.743167683819223, -53.80373200570555</t>
  </si>
  <si>
    <t>Rodovia PR-317, km 10 - Toledo a Ouro Verde do Oeste, km 10</t>
  </si>
  <si>
    <t>Licença de Operação n°324172/2024</t>
  </si>
  <si>
    <t>Lei Municipal n° 1931/2006</t>
  </si>
  <si>
    <t>11364321.02</t>
  </si>
  <si>
    <t>12596541.37</t>
  </si>
  <si>
    <t>6689726.45</t>
  </si>
  <si>
    <t>3331382.25</t>
  </si>
  <si>
    <t>1967231.47</t>
  </si>
  <si>
    <t>476281.37</t>
  </si>
  <si>
    <t>1. Agrotóxicos, seus resíduos e embalagens - InpEV - Instituto Nacional de Processamento de Embalagens Vazias, 8. Lâmpadas fluorescentes, de vapor de sódio e mercúrio e de luz mista - RECICLUS - Associação Brasileira para Gestão da Logística Reversa de Produtos de Iluminação;, 13. Óleo Lubrificante e Embalagens de óleos lubrificantes - Instituto Jogue Limpo;, 16. Pilhas e baterias portáteis - ABREE - Associação Brasileira de Reciclagem de Eletroeletrônicos e Eletrodomésticos, 17. Pneus inservíveis - Associação RECICLANIP</t>
  </si>
  <si>
    <t>24°44'49.4"S 53°48'24.1"W</t>
  </si>
  <si>
    <t>Tomazina</t>
  </si>
  <si>
    <t>27809</t>
  </si>
  <si>
    <t>Coleta e Transporte, Triagem, Transbordo, Tratamento</t>
  </si>
  <si>
    <t>Lei n.º 422/2017</t>
  </si>
  <si>
    <t>Lei n.º 319/2011</t>
  </si>
  <si>
    <t>Lei n.º 41/2023</t>
  </si>
  <si>
    <t>Reutilização em estradas rurais</t>
  </si>
  <si>
    <t>-23.789287975936855, -50.09049711045541</t>
  </si>
  <si>
    <t>Rodovia Avelino Vieira, PR 272</t>
  </si>
  <si>
    <t>Há canalização do gás, Há flare/queimador dos gases gerados, sem aproveitamento energético, Há coleta de chorume, Há tratamento do chorume (IN 33/2025 e Portaria IAP 259/2014), Há poços de monitoramento, Realiza o monitoramento de corpos hídricos no entorno, Cobertura de resíduos é feita a cada 7 dias</t>
  </si>
  <si>
    <t>Resolução AGEPAR n.º 10/2025</t>
  </si>
  <si>
    <t>3. Eletroeletrônicos e seus componentes - ABREE - Associação Brasileira de Reciclagem de Eletroeletrônicos e Eletrodomésticos;, 4. Eletroeletrônicos e seus componentes - GREEN ELETRON - Gestora para Resíduos de Equipamentos Eletroeletrônicos Nacional, 5. Eletroeletrônicos e seus componentes - Elgin SA., Plástico, Papel e Metais.</t>
  </si>
  <si>
    <t>Três Barras do Paraná</t>
  </si>
  <si>
    <t>27858</t>
  </si>
  <si>
    <t>716/2012</t>
  </si>
  <si>
    <t>chrome-extension://efaidnbmnnnibpcajpcglclefindmkaj/https://www.secid.pr.gov.br/sites/default/arquivos_restritos/files/documento/2022-12/prsb_mrae_3_publicado_28_12_22.pdf</t>
  </si>
  <si>
    <t>2402/2022</t>
  </si>
  <si>
    <t xml:space="preserve"> reutilização em estradas ou lotes urbanos. </t>
  </si>
  <si>
    <t>LAS nº325897</t>
  </si>
  <si>
    <t xml:space="preserve">Linha Kennedy- zona rural do Município de Três Barras do PR </t>
  </si>
  <si>
    <t>-25.381865, -53.185777</t>
  </si>
  <si>
    <t xml:space="preserve">Cascavel -PR </t>
  </si>
  <si>
    <t>-24.984003, -53.296582</t>
  </si>
  <si>
    <t xml:space="preserve">Distrito de São João do Oeste - CASCAVEL -PR </t>
  </si>
  <si>
    <t>Compostagem, Não se aplica</t>
  </si>
  <si>
    <t>LO Nº274599-R2</t>
  </si>
  <si>
    <t>Características dos lotes (dimensões, área edificável, localização, potencial construtivo, etc.), Consumo de água, Frequência de coleta</t>
  </si>
  <si>
    <t xml:space="preserve">ATRAVÉS DE CONTRATO. </t>
  </si>
  <si>
    <t>580 MIL REAIS</t>
  </si>
  <si>
    <t>750 MIL REIAS</t>
  </si>
  <si>
    <t>Baterias de chumbo ácido, Pilhas e baterias portáteis, Móveis, colchões e demais resíduos volumosos</t>
  </si>
  <si>
    <t>-25.381279, -53.184768</t>
  </si>
  <si>
    <t>16.410.373-0</t>
  </si>
  <si>
    <t>Tupãssi</t>
  </si>
  <si>
    <t>27957</t>
  </si>
  <si>
    <t>não há , em elaboração.</t>
  </si>
  <si>
    <t xml:space="preserve">processo de britagem,  utilização pelo municipio </t>
  </si>
  <si>
    <t>04</t>
  </si>
  <si>
    <t xml:space="preserve">Cascavel </t>
  </si>
  <si>
    <t>-24.983779094138864, -53.29601879287119</t>
  </si>
  <si>
    <t>Há impermeabilização no fundo e nas laterais (geomembrana), Realiza o monitoramento de corpos hídricos no entorno</t>
  </si>
  <si>
    <t xml:space="preserve">não realiza </t>
  </si>
  <si>
    <t>2. Baterias de chumbo ácido - IBER - Instituto Brasileiro de Energia Reciclável, 8. Lâmpadas fluorescentes, de vapor de sódio e mercúrio e de luz mista - RECICLUS - Associação Brasileira para Gestão da Logística Reversa de Produtos de Iluminação;, 17. Pneus inservíveis - Associação RECICLANIP</t>
  </si>
  <si>
    <t xml:space="preserve">-24.553978, -53.522197
</t>
  </si>
  <si>
    <t>Turvo</t>
  </si>
  <si>
    <t>27965</t>
  </si>
  <si>
    <t>Nenhuma, Regulação</t>
  </si>
  <si>
    <t>92/2021</t>
  </si>
  <si>
    <t>Rodovia 466, S/N KM13</t>
  </si>
  <si>
    <t>445281.6-7204079.8</t>
  </si>
  <si>
    <t>-445281.6-7204079.8</t>
  </si>
  <si>
    <t>Rodovia PR 466, S/N, KM 13</t>
  </si>
  <si>
    <t xml:space="preserve">Licença de Operação </t>
  </si>
  <si>
    <t>Lei Complementar 01/2009</t>
  </si>
  <si>
    <t>146.04</t>
  </si>
  <si>
    <t>154.99</t>
  </si>
  <si>
    <t>191.20</t>
  </si>
  <si>
    <t>050</t>
  </si>
  <si>
    <t>019</t>
  </si>
  <si>
    <t>1.35</t>
  </si>
  <si>
    <t>0.80</t>
  </si>
  <si>
    <t>-25.087618, -51.536751 / -25.089600, -51.536801</t>
  </si>
  <si>
    <t>Ubiratã</t>
  </si>
  <si>
    <t>28005</t>
  </si>
  <si>
    <t>Plano saneamento regional mrae 3</t>
  </si>
  <si>
    <t>MRAE 3</t>
  </si>
  <si>
    <t>Lei nº 2312/2017</t>
  </si>
  <si>
    <t>Veículos para coleta indiferenciada (convencional), Veículos para coleta seletiva de materiais recicláveis, Unidade de Triagem de Materiais Recicláveis, Unidade de Transbordo, Ampliação ou adequação de aterro sanitário</t>
  </si>
  <si>
    <t>22. J 301425.44 m E 7285612.44 m S</t>
  </si>
  <si>
    <t>Estrada Vitória KM 03</t>
  </si>
  <si>
    <t>Há coleta de chorume, Há tratamento do chorume (IN 33/2025 e Portaria IAP 259/2014), Há poços de monitoramento, Realiza a cobertura diária dos resíduos</t>
  </si>
  <si>
    <t>Licença de Operação  284764</t>
  </si>
  <si>
    <t xml:space="preserve">Lei Municipal nº 2018/2012 </t>
  </si>
  <si>
    <t>8. Lâmpadas fluorescentes, de vapor de sódio e mercúrio e de luz mista - RECICLUS - Associação Brasileira para Gestão da Logística Reversa de Produtos de Iluminação;, 15. Perfurocortantes do GRUPO E, incluindo seringas e canetas injetoras - BHS Comércio e Serviços de Produtos para Saúde LTDA., 17. Pneus inservíveis - Associação RECICLANIP</t>
  </si>
  <si>
    <t xml:space="preserve"> AA 61792</t>
  </si>
  <si>
    <t>Umuarama</t>
  </si>
  <si>
    <t>28104</t>
  </si>
  <si>
    <t>CIBAX — Consórcio Intermunicipal para Conservação da Biodiversidade da Bacia dos rios Xambrê e Piquiri</t>
  </si>
  <si>
    <t>CIBAX:  Iporã (PR)</t>
  </si>
  <si>
    <t>2.971/2006</t>
  </si>
  <si>
    <t>Resíduos industriais, Resíduos de serviços de saúde, Resíduos da construção civil, Resíduos dos estabelecimentos comerciais e de prestação de serviços que geram resíduos perigosos ou resíduos que não sejam equiparados aos resíduos domiciliares, Resíduos agrossilvopastoris</t>
  </si>
  <si>
    <t>4.433/2020</t>
  </si>
  <si>
    <t>O plano esta em elaboração</t>
  </si>
  <si>
    <t>Veículos para coleta seletiva de materiais recicláveis, Veículos para coleta de resíduos orgânicos provenientes de podas e jardinagem, Veículos para a coleta de resíduos orgânicos (sobras alimentares), Unidade de Compostagem, Ecopontos ou Pontos de Entrega Voluntária</t>
  </si>
  <si>
    <t>Não recebe.</t>
  </si>
  <si>
    <t>Não ha.</t>
  </si>
  <si>
    <t>844.8</t>
  </si>
  <si>
    <t>Não possuímos esses dados.</t>
  </si>
  <si>
    <t>-23.736371006210387, -53.249014744587285</t>
  </si>
  <si>
    <t>ROD PR 482, GLEBA 14 NUCLEO CRUZEIRO</t>
  </si>
  <si>
    <t>Há flare/queimador dos gases gerados, sem aproveitamento energético, Há impermeabilização no fundo e nas laterais (geomembrana), Há tratamento do chorume (IN 33/2025 e Portaria IAP 259/2014), Há poços de monitoramento, Realiza a cobertura diária dos resíduos, Realiza o monitoramento de corpos hídricos no entorno</t>
  </si>
  <si>
    <t>LO, em processo de renovação</t>
  </si>
  <si>
    <t>380/2014</t>
  </si>
  <si>
    <t>1. Agrotóxicos, seus resíduos e embalagens - InpEV - Instituto Nacional de Processamento de Embalagens Vazias, 2. Baterias de chumbo ácido - IBER - Instituto Brasileiro de Energia Reciclável, 8. Lâmpadas fluorescentes, de vapor de sódio e mercúrio e de luz mista - RECICLUS - Associação Brasileira para Gestão da Logística Reversa de Produtos de Iluminação;</t>
  </si>
  <si>
    <t>Uniflor</t>
  </si>
  <si>
    <t>28302</t>
  </si>
  <si>
    <t>Licenciamento Ambiental - Integração de estradas Rurais , Licitaçoes Compartilhadas.</t>
  </si>
  <si>
    <t>Lei nº 1069/2015</t>
  </si>
  <si>
    <t>Lei nº 1079/2015</t>
  </si>
  <si>
    <t>309.49</t>
  </si>
  <si>
    <t>estradas Rurais e Voçoroca</t>
  </si>
  <si>
    <t>Esperando movimentação do pedido no IAT- Instituto Água e Terra</t>
  </si>
  <si>
    <t>Estrada Inglesa Lote 199/2 Zona Rural</t>
  </si>
  <si>
    <t>Lat. 23°05'00" Sul  Long. 52°09'40" W-GR</t>
  </si>
  <si>
    <t>Não sei informar</t>
  </si>
  <si>
    <t>Estrada São José</t>
  </si>
  <si>
    <t>Lei nº 783 de 09 de dezembro de 2002, código tributos do município de uniflor.</t>
  </si>
  <si>
    <t>77672.71</t>
  </si>
  <si>
    <t>O próprio Departamento de Meio Ambiente regula o SMRSU</t>
  </si>
  <si>
    <t>2. Baterias de chumbo ácido - IBER - Instituto Brasileiro de Energia Reciclável, 6. Embalagens de aço (latas de tintas, etc.) - Prolata Recicladores e Associados,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17. Pneus inservíveis - Associação RECICLANIP, 16. Baterias Chumbo-Ácido - Associação Brasileira de Energia Sustentável – ABES</t>
  </si>
  <si>
    <t>Baterias de chumbo ácido, Eletroeletrônicos e seus componentes, Lâmpadas fluorescentes, de vapor de sódio e mercúrio e de luz mista, Pilhas e baterias portáteis, Pneus inservíveis</t>
  </si>
  <si>
    <t>Uraí</t>
  </si>
  <si>
    <t>28401</t>
  </si>
  <si>
    <t>o município não participa de consorcio de gestão de RSU</t>
  </si>
  <si>
    <t>nã há</t>
  </si>
  <si>
    <t xml:space="preserve">Descarte tercerizado </t>
  </si>
  <si>
    <t>Assaí - Pr</t>
  </si>
  <si>
    <t>-23.402686 -50.844886</t>
  </si>
  <si>
    <t>Acesso Seccao Figueira, Lotes 135 A1, 135 Ba1, 136 A1, Assaí - PR, 86.220-000</t>
  </si>
  <si>
    <t>CLCB - CERTIFICADO DE LICENCIAMENTO DO CORPO DE BOMBEIROS - CLCB 3.9.01.24.0000993931-96 e LICENÇA SANITÁRIA Nº 202400010000154</t>
  </si>
  <si>
    <t>Lei nº 714/1985</t>
  </si>
  <si>
    <t>Ventania</t>
  </si>
  <si>
    <t>28534</t>
  </si>
  <si>
    <t>00000000</t>
  </si>
  <si>
    <t xml:space="preserve">Plano de Gerenciamento de Resíduos Sólidos para algumas situações </t>
  </si>
  <si>
    <t>LEI N 896 DE SETEMBRO DE 2022</t>
  </si>
  <si>
    <t>N\A</t>
  </si>
  <si>
    <t>rodovia PR090, SN, km204, Ventania-pr</t>
  </si>
  <si>
    <t>Há impermeabilização no fundo e nas laterais (geomembrana), Realiza a cobertura diária dos resíduos</t>
  </si>
  <si>
    <t>n\a</t>
  </si>
  <si>
    <t>28559</t>
  </si>
  <si>
    <t>CÉU AZUL</t>
  </si>
  <si>
    <t xml:space="preserve">EMPRÉSTIMO DE MAQUINÁRIOS PARA MANEJO DOS ATERROS; </t>
  </si>
  <si>
    <t>NÃO TEM</t>
  </si>
  <si>
    <t>https://www.veracruz.pr.gov.br/audiencia-publica-do-plano-municipal-de-saneamento-basico/</t>
  </si>
  <si>
    <t>LAS 212190</t>
  </si>
  <si>
    <t>ESTRADA OURO FINO</t>
  </si>
  <si>
    <t>207773.8 7224933,8</t>
  </si>
  <si>
    <t>Ainda não realiza nenhuma ação, Incentivo à compostagem doméstica, Compostagem comunitária em escolas, associações de moradores, hortas comunitárias, Trituração e compostagem dos resíduos verdes (provenientes de podas e jardinagem)</t>
  </si>
  <si>
    <t>cascavel, paraná ambiental</t>
  </si>
  <si>
    <t>cascavel paraná ambiental</t>
  </si>
  <si>
    <t>NÃO POSSUO CONHECIMENTO, POIS É TERCEIRIZADO</t>
  </si>
  <si>
    <t>LEI COMPLEMENTAR Nº 1/2022</t>
  </si>
  <si>
    <t>PARCERIAS</t>
  </si>
  <si>
    <t>Agrotóxicos, seus resíduos e embalagens, Eletroeletrônicos e seus componentes, Filtros de óleos lubrificantes, Lâmpadas fluorescentes, de vapor de sódio e mercúrio e de luz mista, Medicamentos de uso humano, Medicamentos de uso veterinário, Óleo Lubrificante e Embalagens de óleos lubrificantes, Perfurocortantes do GRUPO E, incluindo seringas e canetas injetoras, Pilhas e baterias portáteis, Pneus inservíveis</t>
  </si>
  <si>
    <t>Verê</t>
  </si>
  <si>
    <t>28609</t>
  </si>
  <si>
    <t>https://leismunicipais.com.br/a/pr/v/vere/lei-ordinaria/2014/72/713/lei-ordinaria-n-713-2014-institui-o-plano-municipal-de-saneamento-basico-pmsb-do-municipio-de-vere-e-da-outras-providencias?q=res%EDduos%20s%F3lidos</t>
  </si>
  <si>
    <t>https://www.secid.pr.gov.br/sites/default/arquivos_restritos/files/documento/2022-12/prsb_mrae_3_publicado_28_12_22.pdf</t>
  </si>
  <si>
    <t>DOIS VIZINHOS</t>
  </si>
  <si>
    <t>-25.747657937655, -53.038820785452536</t>
  </si>
  <si>
    <t xml:space="preserve"> DOIS VIZINHOS</t>
  </si>
  <si>
    <t>NÃOHÁ INFORMAÇÃO</t>
  </si>
  <si>
    <t>NAO HÁ INFORMAÇÃO</t>
  </si>
  <si>
    <t>Virmond</t>
  </si>
  <si>
    <t>28658</t>
  </si>
  <si>
    <t xml:space="preserve">Empresa prestadora de serviço </t>
  </si>
  <si>
    <t xml:space="preserve">Dois Vizinhos </t>
  </si>
  <si>
    <t xml:space="preserve">Laranjeiras do Sul </t>
  </si>
  <si>
    <t>Colônia Coronel Queiroz - Zona Rural</t>
  </si>
  <si>
    <t>25.231152      52.135477</t>
  </si>
  <si>
    <t>25.275141    52245588</t>
  </si>
  <si>
    <t>Linha Nossa Senhora Aparecida   km8</t>
  </si>
  <si>
    <t>Não existe cobrança</t>
  </si>
  <si>
    <t>1. Agrotóxicos, seus resíduos e embalagens - InpEV - Instituto Nacional de Processamento de Embalagens Vazias, 5. Eletroeletrônicos e seus componentes - Elgin SA., 8. Lâmpadas fluorescentes, de vapor de sódio e mercúrio e de luz mista - RECICLUS - Associação Brasileira para Gestão da Logística Reversa de Produtos de Iluminação;, 9. Medicamentos de uso humano - BHS Comercio e Serviços de Produtos para Saúde LTDA.;, 15. Perfurocortantes do GRUPO E, incluindo seringas e canetas injetoras - BHS Comércio e Serviços de Produtos para Saúde LTDA., 16. Pilhas e baterias portáteis - ABREE - Associação Brasileira de Reciclagem de Eletroeletrônicos e Eletrodomésticos, 17. Pneus inservíveis - Associação RECICLANIP</t>
  </si>
  <si>
    <t>14. SINPACEL - Sindicato das Indústrias de Papel, Celulose e Pasta de Madeira para Papel Papelão e de Artefatos de Papel e Papelão)</t>
  </si>
  <si>
    <t>Agrotóxicos, seus resíduos e embalagens, Baterias de chumbo ácido, Eletroeletrônicos e seus componentes, Embalagens de papel, Lâmpadas fluorescentes, de vapor de sódio e mercúrio e de luz mista, Medicamentos de uso humano, Medicamentos de uso veterinário, Perfurocortantes do GRUPO E, incluindo seringas e canetas injetoras, Pilhas e baterias portáteis, Pneus inservíveis</t>
  </si>
  <si>
    <t>Vitorino</t>
  </si>
  <si>
    <t>28708</t>
  </si>
  <si>
    <t>Resíduos dos serviços públicos de saneamento básico, Resíduos industriais, Resíduos de serviços de saúde</t>
  </si>
  <si>
    <t>Veículos para coleta de resíduos orgânicos provenientes de podas e jardinagem</t>
  </si>
  <si>
    <t>1. Agrotóxicos, seus resíduos e embalagens - InpEV - Instituto Nacional de Processamento de Embalagens Vazias, 2. Baterias de chumbo ácido - IBER - Instituto Brasileiro de Energia Reciclável, 7. Filtros de óleos lubrificantes/ABRAFILTROS – Associação Brasileira das Empresas de Filtros e seus Sistemas Automotivos e Industriais, 8. Lâmpadas fluorescentes, de vapor de sódio e mercúrio e de luz mista - RECICLUS - Associação Brasileira para Gestão da Logística Reversa de Produtos de Iluminação;, 9. Medicamentos de uso humano - BHS Comercio e Serviços de Produtos para Saúde LTDA.;, 10. Medicamentos de uso humano - Novartis Biociências SA. e Sandoz do Brasil Indústria Farmacêutica Ltda.;, 11. Medicamentos de uso humano - Sindusfarma - Sindicato da Indústria de Produtos Farmacêuticos, 12. Medicamentos de uso veterinário - BHS Comércio e Serviços de Produtos para Saúde LTDA, 13. Óleo Lubrificante e Embalagens de óleos lubrificantes - Instituto Jogue Limpo;</t>
  </si>
  <si>
    <t>Agrotóxicos, seus resíduos e embalagens, Baterias de chumbo ácido</t>
  </si>
  <si>
    <t>28500</t>
  </si>
  <si>
    <t>Lei 3.173, de 22 de agosto de 2024</t>
  </si>
  <si>
    <t>158376.2</t>
  </si>
  <si>
    <t>-23.906896 -49811852</t>
  </si>
  <si>
    <t>Rodovia governador Parigot de Souza,00</t>
  </si>
  <si>
    <t>Lâmpadas fluorescentes, de vapor de sódio e mercúrio e de luz mista, Perfurocortantes do GRUPO E, incluindo seringas e canetas injetoras, Pilhas e baterias portáteis, Pneus inservíveis, Móveis, colchões e demais resíduos volumosos</t>
  </si>
  <si>
    <t>Xambrê</t>
  </si>
  <si>
    <t>28807</t>
  </si>
  <si>
    <t>Sanepar</t>
  </si>
  <si>
    <t>Reaproveitado na adequação de estradas</t>
  </si>
  <si>
    <t>-23.743635779413545, -53.563506073161896</t>
  </si>
  <si>
    <t xml:space="preserve">Estrada Copacabana em direção ao distrito de Casa Branca </t>
  </si>
  <si>
    <t>3. Eletroeletrônicos e seus componentes - ABREE - Associação Brasileira de Reciclagem de Eletroeletrônicos e Eletrodomésticos;, 8. Lâmpadas fluorescentes, de vapor de sódio e mercúrio e de luz mista - RECICLUS - Associação Brasileira para Gestão da Logística Reversa de Produtos de Iluminação;, 9. Medicamentos de uso humano - BHS Comercio e Serviços de Produtos para Saúde LTDA.;, 13. Óleo Lubrificante e Embalagens de óleos lubrificantes - Instituto Jogue Limpo;, 16. Pilhas e baterias portáteis - ABREE - Associação Brasileira de Reciclagem de Eletroeletrônicos e Eletrodomésticos, 17. Pneus inservíveis - Associação RECICLANIP</t>
  </si>
  <si>
    <t>Pilhas e baterias portáteis, Pneus inservíveis, Móveis, colchões e demais resíduos volumosos</t>
  </si>
  <si>
    <t>Qual a quantidade COLETADA de resíduos sólidos urbanos (coleta indiferenciada -  convencional) no TOTAL (área urbana e rural)?</t>
  </si>
  <si>
    <t>Faixa populacional</t>
  </si>
  <si>
    <t>MUNICÍPIO QUESTIONÁRIO</t>
  </si>
  <si>
    <t>O Município possui Associação ou Cooperativa de Catadores de Materiais Recicláveis e Reutilizáveis?</t>
  </si>
  <si>
    <t>Categorização</t>
  </si>
  <si>
    <t>Número de associados/cooperados no momento atual:</t>
  </si>
  <si>
    <t>Quantidade de cooperados do SEXO FEMININO:</t>
  </si>
  <si>
    <t>Quantidade de cooperados do SEXO MASCULINO:</t>
  </si>
  <si>
    <t>Quantidade de cooperados do SEXO DE OUTRAS IDENTIDADES?</t>
  </si>
  <si>
    <t>Renda média mensal de cada associado/ cooperado (R$):</t>
  </si>
  <si>
    <t>Tipo de licença ambiental e número:</t>
  </si>
  <si>
    <t>Data de Validade da Licença Ambiental:</t>
  </si>
  <si>
    <t>Possui Estatuto Social?</t>
  </si>
  <si>
    <t>Possui Ata de Eleição de Diretoria Atualizada?</t>
  </si>
  <si>
    <t>Possui Alvará de Funcionamento?</t>
  </si>
  <si>
    <t>Possui parceria com alguma entidade gestora de logística reversa ou indústria/importador?</t>
  </si>
  <si>
    <t>Possui parceria com alguma entidade gestora de embalagens?</t>
  </si>
  <si>
    <t>A Associação/Cooperativa está cadastrada no Sistema Nacional de Informações sobre a Gestão de Resíduos Sólidos (SINIR) e emite o Manifesto de Transporte de Resíduos (MTR) através dele?</t>
  </si>
  <si>
    <t>Os catadores ou a associação/ cooperativa pagam a Guia da Previdência Social das contribuições sociais (INSS)?</t>
  </si>
  <si>
    <t xml:space="preserve">Os catadores e catadoras estão cadastradas no Cadastro Único para Programas Sociais do Governo Federal - CadÚnico - com a marcação na categoria correspondente? </t>
  </si>
  <si>
    <t>Observações sobre a cooperativa:</t>
  </si>
  <si>
    <t>A triagem é realizada onde?</t>
  </si>
  <si>
    <t>Existe uma área administrativa?</t>
  </si>
  <si>
    <t>O imóvel é:</t>
  </si>
  <si>
    <t>Em caso de barracão cedido pela prefeitura:</t>
  </si>
  <si>
    <t>Há infraestrutura apropriada para uso dos associados/ cooperados? [Escritório]</t>
  </si>
  <si>
    <t>Há infraestrutura apropriada para uso dos associados/ cooperados? [Cozinha]</t>
  </si>
  <si>
    <t>Há infraestrutura apropriada para uso dos associados/ cooperados? [Refeitório]</t>
  </si>
  <si>
    <t>Há infraestrutura apropriada para uso dos associados/ cooperados? [Despensa]</t>
  </si>
  <si>
    <t>Há infraestrutura apropriada para uso dos associados/ cooperados? [Sanitários Mas/Fem]</t>
  </si>
  <si>
    <t>Há infraestrutura apropriada para uso dos associados/ cooperados? [Vestiário e chuveiro]</t>
  </si>
  <si>
    <t>Quais equipamentos e utensílios a Associação ou Cooperativa possui? [Esteira de triagem]</t>
  </si>
  <si>
    <t>Quais outros equipamentos considera importante para comentar?</t>
  </si>
  <si>
    <t>Onde são recebidos os materiais da coleta seletiva?</t>
  </si>
  <si>
    <t>Como é feito o descarregamento dos resíduos sólidos coletados pelo caminhão?</t>
  </si>
  <si>
    <t>Quais tipos de mateirias chegam até vocês pela coleta seletiva?</t>
  </si>
  <si>
    <t>Qual a quantidade em toneladas de resíduos recebidos no ano de 2024? 
Se não houver pesagem dos materiais recebidos, informar 0</t>
  </si>
  <si>
    <t>De que forma é feita a triagem?</t>
  </si>
  <si>
    <t>Quais tipos de resíduos são separados?</t>
  </si>
  <si>
    <t>Quais capacitações são realizadas com os cooperados/ associados?</t>
  </si>
  <si>
    <t>Onde é armazenado o rejeito?</t>
  </si>
  <si>
    <t>Qual a estimativa da geração mensal de rejeito?</t>
  </si>
  <si>
    <t>Comparativo</t>
  </si>
  <si>
    <t>Soma rejeitos</t>
  </si>
  <si>
    <t>Qual a quantidade em toneladas de rejeitos que foram destinados ao aterro sanitário no ano de 2024?</t>
  </si>
  <si>
    <t>Qual a quantidade em toneladas de rejeitos que foram destinados para coprocessamento em cimenteira no ano de 2024?</t>
  </si>
  <si>
    <t>Qual a quantidade anual de REJEITOS recuperados por outra forma de tratamento
?</t>
  </si>
  <si>
    <t>Quais resíduos da logística reversa são destinados à Associação/Cooperativa?</t>
  </si>
  <si>
    <t>Qual a quantidade aproximada em quilogramas (kg)  de PILHAS E BATERIAS da logística reversa armazenadas na associação/cooperativa que estão estocados sem ter uma solução para a destinação final?</t>
  </si>
  <si>
    <t>Qual a quantidade aproximada em quilogramas (kg)  de MEDICAMENTOS E PERFUROCORTANTES da logística reversa armazenadas na associação/cooperativa que estão estocados sem ter uma solução para a destinação final?</t>
  </si>
  <si>
    <t>Qual a quantidade aproximada em unidades (un.)  de LÂMPADAS FLUORESCENTES e LED da logística reversa armazenadas na associação/cooperativa que estão estocados sem ter uma solução para a destinação final?</t>
  </si>
  <si>
    <t>Qual a quantidade aproximada em toneladas (t)  de EMBALAGENS DE ÓLEO LUBRIFICANTE da logística reversa armazenadas na associação/cooperativa que estão estocados sem ter uma solução para a destinação final?</t>
  </si>
  <si>
    <t>Qual a quantidade aproximada em quilogramas (kg) de ELETROELETRÔNICOS da logística reversa armazenadas na associação/cooperativa que estão estocados sem ter uma solução para a destinação final?</t>
  </si>
  <si>
    <t>Qual a quantidade aproximada em unidades (un.)  de PNEUS INSERVÍVEIS da logística reversa armazenadas na associação/cooperativa que estão estocados sem ter uma solução para a destinação final?</t>
  </si>
  <si>
    <t>Qual a quantidade aproximada em toneladas (t)  de OUTROS RESÍDUOS da logística reversa armazenadas na associação/cooperativa que estão estocados sem ter uma solução para a destinação final?</t>
  </si>
  <si>
    <t>Quais materiais com potencial de reciclagem estão sendo descartados como rejeito?</t>
  </si>
  <si>
    <t>Qual a quantidade aproximada em quilogramas (kg)  de EPS (ISOPOR) com potencial de reciclagem armazenados na associação/cooperativa que estão estocados sem ter uma solução para a destinação final?</t>
  </si>
  <si>
    <t>Qual a quantidade aproximada em  quilogramas (kg) de BOPP - Embalagens plásticas flexíveis e laminadas com potencial de reciclagem armazenados na associação/cooperativa que estão estocados sem ter uma solução para a destinação final?</t>
  </si>
  <si>
    <t>Qual a quantidade aproximada em  quilogramas (kg) de PETg - Bandeja com potencial de reciclagem armazenados na associação/cooperativa que estão estocados sem ter uma solução para a destinação final?</t>
  </si>
  <si>
    <t>Qual a quantidade aproximada em toneladas (t)  de EMBALAGEM CARTONADA com potencial de reciclagem armazenados na associação/cooperativa que estão estocados sem ter uma solução para a destinação final?</t>
  </si>
  <si>
    <t>Qual a quantidade aproximada em toneladas (t)  de PAPEL MISTO OU DE TERCEIRA com potencial de reciclagem armazenados na associação/cooperativa que estão estocados sem ter uma solução para a destinação final?</t>
  </si>
  <si>
    <t>Qual a quantidade aproximada em toneladas (t)  de OUTROS MATERIAIS com potencial de reciclagem armazenados na associação/cooperativa que estão estocados sem ter uma solução para a destinação final?</t>
  </si>
  <si>
    <t>Como está dividida a área de expedição?</t>
  </si>
  <si>
    <t>Como são estocados os fardos para expedição?</t>
  </si>
  <si>
    <t>Qual a freqüência de expedição de cada material?</t>
  </si>
  <si>
    <t>Qual a quantidade anual de PAPEL recuperados através da associação/cooperativa?</t>
  </si>
  <si>
    <t xml:space="preserve">Qual a quantidade anual de PLÁSTICO recuperados através da associação/cooperativa? </t>
  </si>
  <si>
    <t xml:space="preserve">Qual a quantidade anual de METAL recuperados através da associação/cooperativa? </t>
  </si>
  <si>
    <t xml:space="preserve">Qual a quantidade anual de VIDRO recuperados através da associação/cooperativa? </t>
  </si>
  <si>
    <t xml:space="preserve">Qual a quantidade anual de OUTROS RESÍDUOS recuperados através da associação/cooperativa? </t>
  </si>
  <si>
    <t xml:space="preserve">Qual a quantidade anual TOTAL GERAL de resíduos recuperados através da associação/cooperativa? </t>
  </si>
  <si>
    <t>Soma TOTAL correta</t>
  </si>
  <si>
    <t>Há coprocessamento de rejeitos?</t>
  </si>
  <si>
    <t>Existem outras modalidades de colaboradores?</t>
  </si>
  <si>
    <t>Quais as normas e programas de segurança a Associação/Cooperativa segue ou atende?</t>
  </si>
  <si>
    <t>Quais funcionalidades financeiras e contábeis possui?</t>
  </si>
  <si>
    <t>Qual a frequência de expedição de cada material?</t>
  </si>
  <si>
    <t>Há infraestrutura apropriada para uso dos associados/ cooperados? [Área de triagem]</t>
  </si>
  <si>
    <t>Há infraestrutura apropriada para uso dos associados/ cooperados? [Outro]</t>
  </si>
  <si>
    <t>Qual o tamanho/porte da unidade de triagem de resíduos?</t>
  </si>
  <si>
    <t>Selecione quais documentos a Cooperativa/Associação possui</t>
  </si>
  <si>
    <t>A Associação/Cooperativa possui acompanhamento ou assessoramento técnico através de profissional habilitado?</t>
  </si>
  <si>
    <t>A Associação/Cooperativa possui Contador ou Advogado?</t>
  </si>
  <si>
    <t>A Associação/Cooperativa possui algum sistema de gestão e controle das quantidades de resíduos recolhidos, triados e vendidos?</t>
  </si>
  <si>
    <t>Quais equipamentos e utensílios a Associação ou Cooperativa possui? [Prensa Hidráulica Vertical]</t>
  </si>
  <si>
    <t>Quais equipamentos e utensílios a Associação ou Cooperativa possui? [Prensa Hidráulica Horizontal]</t>
  </si>
  <si>
    <t>Quais equipamentos e utensílios a Associação ou Cooperativa possui? [Triturador ou Fragmentador]</t>
  </si>
  <si>
    <t>Quais equipamentos e utensílios a Associação ou Cooperativa possui? [Balança]</t>
  </si>
  <si>
    <t>Quais equipamentos e utensílios a Associação ou Cooperativa possui? [Veículo de Coleta e Transporte]</t>
  </si>
  <si>
    <t>Quais equipamentos e utensílios a Associação ou Cooperativa possui? [Empilhadeira ou Elevador de Fardos]</t>
  </si>
  <si>
    <t>Quais equipamentos e utensílios a Associação ou Cooperativa possui? [Bombonas]</t>
  </si>
  <si>
    <t>Quais equipamentos e utensílios a Associação ou Cooperativa possui? [Big-bags]</t>
  </si>
  <si>
    <t>Quais equipamentos e utensílios a Associação ou Cooperativa possui? [Esteira Elevatória]</t>
  </si>
  <si>
    <t>Quais equipamentos e utensílios a Associação ou Cooperativa possui? [Paleteira de Fardos]</t>
  </si>
  <si>
    <t>Quais equipamentos e utensílios a Associação ou Cooperativa possui? [Carrinho Movimentador de Big-Bags]</t>
  </si>
  <si>
    <t>Quais equipamentos e utensílios a Associação ou Cooperativa possui? [Outros]</t>
  </si>
  <si>
    <t>Quais equipamentos e utensílios a Associação ou Cooperativa necessita? [Esteira de triagem]</t>
  </si>
  <si>
    <t>Quais equipamentos e utensílios a Associação ou Cooperativa necessita? [Prensa Hidráulica Vertical]</t>
  </si>
  <si>
    <t>Quais equipamentos e utensílios a Associação ou Cooperativa necessita? [Prensa Hidráulica Horizontal]</t>
  </si>
  <si>
    <t>Quais equipamentos e utensílios a Associação ou Cooperativa necessita? [Triturador ou Fragmentador]</t>
  </si>
  <si>
    <t>Quais equipamentos e utensílios a Associação ou Cooperativa necessita? [Balança]</t>
  </si>
  <si>
    <t>Quais equipamentos e utensílios a Associação ou Cooperativa necessita? [Veículo de Coleta e Transporte]</t>
  </si>
  <si>
    <t>Quais equipamentos e utensílios a Associação ou Cooperativa necessita? [Empilhadeira ou Elevador de Fardos]</t>
  </si>
  <si>
    <t>Quais equipamentos e utensílios a Associação ou Cooperativa necessita? [Bombonas]</t>
  </si>
  <si>
    <t>Quais equipamentos e utensílios a Associação ou Cooperativa necessita? [Big-bags]</t>
  </si>
  <si>
    <t>Quais equipamentos e utensílios a Associação ou Cooperativa necessita? [Esteira Elevatória]</t>
  </si>
  <si>
    <t>Quais equipamentos e utensílios a Associação ou Cooperativa necessita? [Paleteira de Fardos]</t>
  </si>
  <si>
    <t>Quais equipamentos e utensílios a Associação ou Cooperativa necessita? [Carrinho Movimentador de Big-Bags]</t>
  </si>
  <si>
    <t>Quais equipamentos e utensílios a Associação ou Cooperativa necessita? [Outros]</t>
  </si>
  <si>
    <t>Quais equipamentos e utensílios a Associação ou Cooperativa possui? [Trator/Pá carregadeira]</t>
  </si>
  <si>
    <t>Quais equipamentos e utensílios a Associação ou Cooperativa necessita? [Trator/Pá carregadeira]</t>
  </si>
  <si>
    <t>Há infraestrutura apropriada para uso dos associados/ cooperados? [Área de armazenamento]</t>
  </si>
  <si>
    <t>A cooperativa/associação possui área coberta e com piso em tamanho adequado para todo o armazenamento dos materiais triados?</t>
  </si>
  <si>
    <t>Quais são os responsáveis pelo fornecimento dos treinamentos e capacitações?</t>
  </si>
  <si>
    <t>A Associação/ Cooperativa separa os orgânicos proveniente da coleta convencional (indiferenciada) de resíduos sólidos urbanos?</t>
  </si>
  <si>
    <t>Se realiza a triagem,  onde são armazenados os resíduos orgânicos?</t>
  </si>
  <si>
    <t>Qual a quantidade em toneladas de resíduos orgânicos que foram destinados ao aterro sanitário no ano de 2024?</t>
  </si>
  <si>
    <t>Qual a quantidade em toneladas de resíduos orgânicos que foram destinados à compostagem no ano de 2024?</t>
  </si>
  <si>
    <t>Quais equipamentos e utensílios a Associação ou Cooperativa possui? [Computador]</t>
  </si>
  <si>
    <t>Quais equipamentos e utensílios a Associação ou Cooperativa necessita? [Computador]</t>
  </si>
  <si>
    <t xml:space="preserve">Possui órgão administrativo (diretoria)? </t>
  </si>
  <si>
    <t>Periodicidade média de Comercialização dos Recicláveis:</t>
  </si>
  <si>
    <t>Qual a forma de divisão da renda?</t>
  </si>
  <si>
    <t>A área de triagem possui ventilação adequada?</t>
  </si>
  <si>
    <t>Os materiais provenientes da coleta seletiva são pesados antes do descarregamento?</t>
  </si>
  <si>
    <t>Qual a origem dos resíduos recebidos?</t>
  </si>
  <si>
    <t>Qual a quantidade em toneladas de materiais recicláveis e reutilizáveis que foram recuperados no ano de 2024? Ou seja, que foram comercializados?</t>
  </si>
  <si>
    <t xml:space="preserve">Possui  Extintores de Incêndio dentro da validade? </t>
  </si>
  <si>
    <t>A maior parte da iluminação do barracão é:</t>
  </si>
  <si>
    <t xml:space="preserve">A Associação/ Cooperativa emite nota fiscal de comercialização de materiais recicláveis, comprovando o cumprimento das obrigações relacionadas à logística reversa de embalagens em geral? </t>
  </si>
  <si>
    <t xml:space="preserve">A Associação/ Cooperativa exige Certificado de Destinação Final das empresas compradoras?
 O CDF comprova que os resíduos sólidos são destinados de forma ambientalmente correta.
</t>
  </si>
  <si>
    <t>Existe algum tipo de monitoramento dos catadores autônomos (que não estão na associação ou cooperativa)?</t>
  </si>
  <si>
    <t>Como é o horário de trabalho dos associados/ cooperados?</t>
  </si>
  <si>
    <t>Qual a jornada diária de trabalho total (horas trabalhadas/dia)?</t>
  </si>
  <si>
    <t>Os associados/ cooperados usam quais equipamentos de proteção individual?</t>
  </si>
  <si>
    <t>Os resíduos orgânicos da cozinha e do refeitório são compostados?</t>
  </si>
  <si>
    <t>Qual o destino do composto orgânico gerado?</t>
  </si>
  <si>
    <t xml:space="preserve">Qual a frequência em que os resíduos orgânicos são levados ao destino final? </t>
  </si>
  <si>
    <t>No barracão existe local para fazer compostagem do material orgânico?</t>
  </si>
  <si>
    <t xml:space="preserve">A associação/cooperativa já fez ou faz a concentração de algum tipo de resíduo reciclável proveniente de outros municípios ou associações em suas dependências? (Com o objetivo de ganho de volume para viabilizar a comercialização). </t>
  </si>
  <si>
    <t xml:space="preserve">A associação/cooperativa realiza comercialização em rede de algum tipo de material?
Por exemplo: o caminhão carrega os fardos ou big-bags em outras cooperativas/ associações para ganhar volume e conseguir fechar a carga para a indústria recicladora receber, como a de isopor, BOPP, outros </t>
  </si>
  <si>
    <t xml:space="preserve">Existe espaço/área no barracão para concentrar algum material reciclável proveniente de outra associação/cooperativa? 
(Foco no ganho de volume para viabilizar a venda). </t>
  </si>
  <si>
    <t>Qual a periodicidade de recepção das cargas da coleta seletiva?</t>
  </si>
  <si>
    <t>Quais dias da semana costumam chegar as cargas da coleta seletiva?</t>
  </si>
  <si>
    <t>Quem é responsável pela limpeza do galpão?</t>
  </si>
  <si>
    <t xml:space="preserve">Qual a frequência semanal de limpeza dos barracões? </t>
  </si>
  <si>
    <t>Quais produtos utilizados na limpeza da infraestrutura?</t>
  </si>
  <si>
    <t xml:space="preserve">De que maneira as cooperativas/associações evitam a proliferação de vetores de doenças em suas estruturas? </t>
  </si>
  <si>
    <t>A maior parte do piso do barracão é feito de:</t>
  </si>
  <si>
    <t>As construções vizinhas ao lado esquerdo, direito, à frente e atrás do barracão são:</t>
  </si>
  <si>
    <t>Quanto à destinação o esgoto, marque as alternativas pertinentes:</t>
  </si>
  <si>
    <t xml:space="preserve">Declaração de Veracidade dos dados </t>
  </si>
  <si>
    <t>Menor que 1 salário mínimo (R$ 1.412,00)</t>
  </si>
  <si>
    <t>Associação Nacional dos Catadores de Materiais Recicláveis – ANCAT</t>
  </si>
  <si>
    <t>Apenas está cadastrada no SINIR</t>
  </si>
  <si>
    <t>Sim, todos estão cadastrados</t>
  </si>
  <si>
    <t>Pátio sem cobertura, Barracão totalmente coberto, Sobre um piso sem impermeabilização</t>
  </si>
  <si>
    <t>Próprio</t>
  </si>
  <si>
    <t>Possui</t>
  </si>
  <si>
    <t>A céu aberto</t>
  </si>
  <si>
    <t>Mesas Separadoras</t>
  </si>
  <si>
    <t>Alumínio, Alumínio Duro, Alumínio Lata, Alumínio Mista, Alumínio Panela, Alumínio Perfil, Bateria, BOPP, Caco vidro, Cobre Misto, Eletrônico, Fio, Fundido, Inox, Inox Ferroso, Mangueira,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</si>
  <si>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Treinamentos sobre triagem e seleção dos materiais, Treinamento sobre legislação, Treinamento sobre Saúde</t>
  </si>
  <si>
    <t>Caçamba</t>
  </si>
  <si>
    <t>EPS (Isopor), BOPP - Embalagens plásticas flexíveis e laminadas</t>
  </si>
  <si>
    <t>Não, somente cooperados/associados</t>
  </si>
  <si>
    <t>Pequena (P) - Área utilizada de até 2.000 m²</t>
  </si>
  <si>
    <t>Cadastro/Cartão CNPJ, Alvará de Funcionamento, Comprovante da Conta Bancária, Estatuto Social, Ata de Eleição da Diretoria Atualizada, Termo ou Auto de Vistoria do Corpo de Bombeiros</t>
  </si>
  <si>
    <t>Por meio de outra instituição, ONG ou por projeto/Edital</t>
  </si>
  <si>
    <t>Possui Contador</t>
  </si>
  <si>
    <t>Não possui método informatizado</t>
  </si>
  <si>
    <t>Termo de Cooperação ou outro com o Município com repasse de recurso, Termo de Cooperação Técnica com Entidade Gestora</t>
  </si>
  <si>
    <t>Acima de 5</t>
  </si>
  <si>
    <t>Os materiais triados ficam em área totalmente coberta, Os materiais triados ficam em área com piso parcialmente impermeabilizado</t>
  </si>
  <si>
    <t>Prefeitura</t>
  </si>
  <si>
    <t>Presidente, Vice-Presidente, Tesoureiro(a), Secretário (a)</t>
  </si>
  <si>
    <t>Outra forma</t>
  </si>
  <si>
    <t>Coleta Seletiva da Prefeitura</t>
  </si>
  <si>
    <t>Natural</t>
  </si>
  <si>
    <t>Não há acompanhamento e monitoramento</t>
  </si>
  <si>
    <t>Flexível (cada associado chega em um horário)</t>
  </si>
  <si>
    <t>Abixo de 8h/dia</t>
  </si>
  <si>
    <t>Luvas, Máscara, Óculos de proteção, Botina</t>
  </si>
  <si>
    <t>5 vezes por semana</t>
  </si>
  <si>
    <t>Segunda, Terça, Quarta, Quinta, Sexta</t>
  </si>
  <si>
    <t>Associados/ cooperados</t>
  </si>
  <si>
    <t>2 vezes por semana</t>
  </si>
  <si>
    <t>Água sanitária, Álcool, Querosene, Detergente, Sabão em barra, Sabão em pó</t>
  </si>
  <si>
    <t>Dedetização periódica, Expedição de rejeitos com frequência adequada, Armadilhas para ratos</t>
  </si>
  <si>
    <t>Concreto</t>
  </si>
  <si>
    <t>Residências, Comércios</t>
  </si>
  <si>
    <t>Fossa séptica + sumidouro (infiltração no solo)</t>
  </si>
  <si>
    <t>Estou ciente de que qualquer falsidade nas informações prestadas pode resultar em consequências legais conforme as especificações do Código Penal Decreto-lei nº 2.848/1940 e/ou outras legislações pertinentes.</t>
  </si>
  <si>
    <t>Barracão totalmente coberto, Sobre um piso totalmente impermeabilizado</t>
  </si>
  <si>
    <t>Cedido pela Prefeitura</t>
  </si>
  <si>
    <t>Dentro do barracão no piso</t>
  </si>
  <si>
    <t>Esteira Elétrica, Mesas Separadoras</t>
  </si>
  <si>
    <t>Alumínio, Alumínio Duro, Alumínio Lata, Alumínio Panela, Alumínio Perfil, BOPP, Caco vidro, Cobre Misto, Eletrônico, Fio, Fundido, Metal, Misto/Desmanche eletrônico, Papel, Papel Branco, Papel Cimento, Papel colorido, Papel Misto, Papel Terceira, Papelão, PEAD branco/leitoso, PEAD caixa, PEAD Colorida, PEAD Garrafinha, PEBD Colorido, PEBD Cristal, PEBD Lona Preta, PET Bandeja, PET, PET Azul, PET Branca, PET Colorida, PET Cristal, PET miolo, Plástico filme, PP, PP Balde Bacia Branco, PP Balde Bacia Misto, PP branco, PP colorido, PP Garrafinha, PP Margarina, PP Mineral, PP misto, PP preto, PP Tampinha, PS, PS copinho, PVC, Ráfia, Revista, Sucata Ferro, Sucata metálica, Sucata plástico, Embalagem  longa vida, Vidro</t>
  </si>
  <si>
    <t>Treinamentos sobre triagem e seleção dos materiais, Treinamentos sobre manuseio da prensa, Treinamento sobre legislação, Treinamento sobre Marketing e Comunicação, Treinamento sobre Saúde</t>
  </si>
  <si>
    <t>Big-bags</t>
  </si>
  <si>
    <t>EPS (Isopor)</t>
  </si>
  <si>
    <t>Cadastro/Cartão CNPJ, Alvará de Funcionamento, Comprovante da Conta Bancária, Ata de Eleição da Diretoria Atualizada, Termo ou Auto de Vistoria do Corpo de Bombeiros</t>
  </si>
  <si>
    <t>Termo de Cooperação ou outro com o Município com repasse de recurso</t>
  </si>
  <si>
    <t>Os materiais triados ficam em área totalmente coberta</t>
  </si>
  <si>
    <t>Prefeitura, Outra Instituição ou Organização da Sociedade Civil</t>
  </si>
  <si>
    <t>Presidente, Vice-Presidente, Tesoureiro(a)</t>
  </si>
  <si>
    <t>Coleta Seletiva da Prefeitura, Doação de Empresas</t>
  </si>
  <si>
    <t>Artificial</t>
  </si>
  <si>
    <t>Luvas, Avental, Óculos de proteção, Botina</t>
  </si>
  <si>
    <t>nao tem composto organico</t>
  </si>
  <si>
    <t>Água sanitária, Álcool, Querosene, Detergente</t>
  </si>
  <si>
    <t>Dedetização periódica, Expedição de rejeitos com frequência adequada</t>
  </si>
  <si>
    <t>Residências</t>
  </si>
  <si>
    <t>Rede coletora de esgoto</t>
  </si>
  <si>
    <t>De 1 até 2 salários mínimos  (R$ 1.413,00 até R$ 2.824,00)</t>
  </si>
  <si>
    <t>LAS 211187</t>
  </si>
  <si>
    <t>Está cadastrada no SINIR e emite o MTR através do sistema</t>
  </si>
  <si>
    <t>Esteira Elétrica</t>
  </si>
  <si>
    <t>Alumínio, Alumínio Duro, Alumínio Lata, Alumínio Mista, Alumínio Panela, Alumínio Perfil, Antimônio, Bateria,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</si>
  <si>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Treinamento sobre legislação, Treinamento sobre notas fiscais</t>
  </si>
  <si>
    <t>Pilhas e Baterias, Medicamentos e perfurocortantes, Lâmpadas fluorescentes, Eletroeletrônicos, Pneus inservíveis, Vestuário</t>
  </si>
  <si>
    <t>EPS (Isopor), BOPP - Embalagens plásticas flexíveis e laminadas, PETg (Bandeja), Embalagem cartonada</t>
  </si>
  <si>
    <t>Assessorias</t>
  </si>
  <si>
    <t>Legislação trabalhista de prevenção de doenças e acidentes ocupacionais (exemplo: NR7, NR9, NR15), Programa de Prevenção de Riscos Ambientais - PPRA ou Plano de Gerenciamento de Riscos - PGR, Programa de Controle Médico de Saúde Ocupacional - PCMSO, Laudo Técnico das Condições Ambientais de Trabalho - LTCAT</t>
  </si>
  <si>
    <t>Cadastro/Cartão CNPJ, Alvará de Funcionamento, Inscrição Municipal, Inscrição Estadual, Certidão de Débitos relativos a créditos tributários federais e à dívida ativa da união, Certidão negativa de débitos trabalhistas, Comprovante da Conta Bancária, Estatuto Social, Ata de Eleição da Diretoria Atualizada, Termo ou Auto de Vistoria do Corpo de Bombeiros, Licença Ambiental</t>
  </si>
  <si>
    <t>Por meio de Responsável Técnico contratado</t>
  </si>
  <si>
    <t>Possui Contador e Advogado</t>
  </si>
  <si>
    <t>Possui Planilha de controle</t>
  </si>
  <si>
    <t>Contrato de Prestação de Serviços com o Município</t>
  </si>
  <si>
    <t>Os materiais triados ficam em área parcialmente coberta, Os materiais triados ficam em área com piso totalmente impermeabilizado</t>
  </si>
  <si>
    <t>Responsável Técnico, consultor ou assessoria contratada</t>
  </si>
  <si>
    <t>Presidente, Vice-Presidente, Tesoureiro(a), Conselho Fiscal, Outros membros</t>
  </si>
  <si>
    <t>Sistema de rateio por horas trabalhadas</t>
  </si>
  <si>
    <t>Coleta Seletiva da Prefeitura, Doação de Empresas, Doação de Pessoas Físicas</t>
  </si>
  <si>
    <t>Fixo (Por exemplo, das 8h às 17h com 1h de almoço)</t>
  </si>
  <si>
    <t>8h/ dia</t>
  </si>
  <si>
    <t>Luvas, Protetor auricular, Uniforme, Botina</t>
  </si>
  <si>
    <t>Mais que 5 vezes por semana</t>
  </si>
  <si>
    <t>Água sanitária, Detergente, Sabão em barra, Sabão em pó, Outro</t>
  </si>
  <si>
    <t>Expedição de rejeitos com frequência adequada, Armadilhas para ratos, Inseticidas, Higienização periódica da infraestrutura</t>
  </si>
  <si>
    <t>Fossa seca (quando não há água encanada)</t>
  </si>
  <si>
    <t>LAS - 209360</t>
  </si>
  <si>
    <t>Sim, mas nem todos encontram-se cadastrados</t>
  </si>
  <si>
    <t>Pátio coberto, Barracão totalmente coberto, Sobre um piso totalmente impermeabilizado</t>
  </si>
  <si>
    <t>Foi construído em parceria com o governo do Estado (SEDEST/Instituto Água e Terra)</t>
  </si>
  <si>
    <t>600.00</t>
  </si>
  <si>
    <t>Alumínio, Alumínio Lata, Alumínio Mista, Alumínio Panela, Alumínio Perfil, BOPP, Caco vidro, Cobre Misto, Eletrônico, EPS/Isopor, Fio, Metal, Papel, Papel Branco, Papel Cimento, Papel Misto, Papelão, Parachoque veículo, PEAD branco/leitoso, PEAD Colorida, PEAD Garrafinha, PEBD Cristal, PEBD Lona Preta, PET, PET Azul, PET Branca, PET Colorida, PET Cristal, PET Óleo, PET Verde, Plástico filme, PP, PP Balde Bacia Branco, PP Balde Bacia Misto, PP branco, PP colorido, PP Garrafinha, PP Tampinha, PS copinho, PVC, Ráfia, Rejeito, Sucata metálica, Vidro</t>
  </si>
  <si>
    <t>Treinamentos sobre triagem e seleção dos materiais, Treinamento sobre Saúde, Outros</t>
  </si>
  <si>
    <t>Lâmpadas fluorescentes</t>
  </si>
  <si>
    <t>EPS (Isopor), Embalagem cartonada, Papel misto ou de terceira, Outros</t>
  </si>
  <si>
    <t>Cadastro/Cartão CNPJ, Alvará de Funcionamento, Inscrição Municipal, Comprovante da Conta Bancária, Estatuto Social, Ata de Eleição da Diretoria Atualizada, Licença Ambiental</t>
  </si>
  <si>
    <t>Prefeitura, Governo do Paraná, Próprios Cooperados/Associados, Fornecedor do equipamento</t>
  </si>
  <si>
    <t>Tambores</t>
  </si>
  <si>
    <t>Sistema de rateio por produtividade</t>
  </si>
  <si>
    <t>Coleta Seletiva da Prefeitura, Catadores autônomos</t>
  </si>
  <si>
    <t>276.00</t>
  </si>
  <si>
    <t>Luvas, Botina, Outro</t>
  </si>
  <si>
    <t>Doação para a população, associados</t>
  </si>
  <si>
    <t>1 vez por semana</t>
  </si>
  <si>
    <t>Água sanitária, Álcool, Detergente, Sabão em barra, Desengordurante, Limpadores multiuso</t>
  </si>
  <si>
    <t>Área rural</t>
  </si>
  <si>
    <t>De 2 até 3 salários mínimos (R$ 2.824,00 até 4.236,00)</t>
  </si>
  <si>
    <t>Licença de operação/ 17350121-8</t>
  </si>
  <si>
    <t>Barracão totalmente coberto</t>
  </si>
  <si>
    <t>Foi construído em parceria com o governo Federal</t>
  </si>
  <si>
    <t>647735.14</t>
  </si>
  <si>
    <t>Alumínio, Alumínio Duro, Alumínio Lata, Alumínio Mista, Alumínio Panela, Alumínio Perfil, Bateria, Caco vidro, Cobre Misto, Eletrônico, EPS/Isopor, Fio, Inox Ferroso,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Cristal, PET Óleo, PET Verde, Plástico filme, PP, PP Balde Bacia Branco, PP Balde Bacia Misto, PP branco, PP colorido, PP Garrafinha, PP Margarina, PP Mineral, PP misto, PP preto, PP Tampinha, PS, PS copinho, PVC, Ráfia, Rejeito, Revista, Sucata Ferro, Sucata plástico, Embalagem  longa vida, Vidro</t>
  </si>
  <si>
    <t>Treinamentos sobre triagem e seleção dos materiais, Treinamentos sobre manuseio da prensa, Treinamento sobre Saúde, Outros</t>
  </si>
  <si>
    <t>Pilhas e Baterias, Lâmpadas fluorescentes, Eletroeletrônicos</t>
  </si>
  <si>
    <t>BOPP - Embalagens plásticas flexíveis e laminadas, PETg (Bandeja)</t>
  </si>
  <si>
    <t>Sim, funcionários CLT ou Pessoa Jurídica</t>
  </si>
  <si>
    <t>Outra</t>
  </si>
  <si>
    <t>Por meio do município</t>
  </si>
  <si>
    <t>Prefeitura, Governo do Paraná, Fornecedor do equipamento, Responsável Técnico, consultor ou assessoria contratada</t>
  </si>
  <si>
    <t>Coleta Seletiva da Prefeitura, Coleta Seletiva da Associação/ Cooperativa</t>
  </si>
  <si>
    <t>498257.8</t>
  </si>
  <si>
    <t>Luvas, Máscara, Avental, Protetor auricular, Uniforme, Óculos de proteção, Botina</t>
  </si>
  <si>
    <t>Limpadores multiuso</t>
  </si>
  <si>
    <t>Dedetização periódica, Expedição de rejeitos com frequência adequada, Higienização periódica da infraestrutura</t>
  </si>
  <si>
    <t>Indústrias</t>
  </si>
  <si>
    <t>LAS - 274190</t>
  </si>
  <si>
    <t>Não está cadastrada no SINIR</t>
  </si>
  <si>
    <t>Alumínio, Alumínio Duro, Alumínio Lata, Alumínio Mista, Alumínio Panela, Alumínio Perfil, Antimônio, Cobre Misto, Eletrônico, Fio, Inox, Inox Ferroso, Mangueira, Metal, Misto/Desmanche eletrônico, Papel, Papel Branco, Papel Cimento, Papel colorido, Papel Misto, Papel Terceira, Papelão, PEAD branco/leitoso, PEAD caixa, PEAD Colorida, PEAD Garrafinha, PEBD Colorido, PEBD Cristal, PEBD Lona Preta, PET Bandeja, PET, PET Azul, PET Branca, PET Colorida, PET Cristal, PET Óleo, PET Verde, PP, PP Balde Bacia Branco, PP Balde Bacia Misto, PP branco, PP colorido, PP Garrafinha, PVC, Ráfia, Revista, Sucata Ferro, Sucata metálica, Vidro</t>
  </si>
  <si>
    <t>Não é realizada nenhuma capacitação</t>
  </si>
  <si>
    <t>Eletroeletrônicos, Vestuário</t>
  </si>
  <si>
    <t xml:space="preserve">diaristas </t>
  </si>
  <si>
    <t>Cadastro/Cartão CNPJ, Alvará de Funcionamento, Certidão negativa de débitos trabalhistas, Estatuto Social, Ata de Eleição da Diretoria Atualizada, Licença Ambiental</t>
  </si>
  <si>
    <t>Termo de Cooperação ou outro com o Município sem repasse de recurso</t>
  </si>
  <si>
    <t>0, Acima de 5</t>
  </si>
  <si>
    <t>Os materiais triados ficam em área totalmente coberta, Os materiais triados ficam em área com piso totalmente impermeabilizado</t>
  </si>
  <si>
    <t>Não são realizados treinamentos</t>
  </si>
  <si>
    <t>Presidente, Vice-Presidente, Tesoureiro(a), Secretário (a), Conselho Fiscal</t>
  </si>
  <si>
    <t>Coleta Seletiva da Prefeitura, Coleta Seletiva da Associação/ Cooperativa, Doação de Empresas, Doação de Pessoas Físicas</t>
  </si>
  <si>
    <t>Luvas, Máscara, Protetor auricular, Uniforme, Botina</t>
  </si>
  <si>
    <t>Água sanitária, Álcool, Detergente, Sabão em barra, Desengordurante</t>
  </si>
  <si>
    <t>Dedetização periódica, Inseticidas</t>
  </si>
  <si>
    <t>Concreto, Cerâmica</t>
  </si>
  <si>
    <t>LAS 337001</t>
  </si>
  <si>
    <t>Alugado</t>
  </si>
  <si>
    <t>Alumínio, Alumínio Duro, Alumínio Lata, Alumínio Mista, Inox, Inox Ferroso, Metal, Papel, Papel Branco, Papel colorido, Papel Misto, Papel Terceira, Papelão, PEAD caixa, PEAD Colorida, PEAD Garrafinha, PEBD Colorido, PEBD Cristal, PEBD Lona Preta, PET Bandeja, PET, PET Azul, PET Branca, PET Colorida, PET Cristal, PET Verde, PP, PP Garrafinha, PP misto, PP preto, Vidro</t>
  </si>
  <si>
    <t>Treinamentos sobre triagem e seleção dos materiais, Treinamentos sobre manuseio da prensa, Treinamento sobre Saúde</t>
  </si>
  <si>
    <t>Legislação trabalhista de prevenção de doenças e acidentes ocupacionais (exemplo: NR7, NR9, NR15), Implementação da Comissão Interna de Presenção de Acidentes - CIPA</t>
  </si>
  <si>
    <t>Cadastro/Cartão CNPJ, Alvará de Funcionamento, Inscrição Municipal, Termo ou Auto de Vistoria do Corpo de Bombeiros, Licença Ambiental</t>
  </si>
  <si>
    <t>Presidente</t>
  </si>
  <si>
    <t>Luvas, Óculos de proteção, Botina</t>
  </si>
  <si>
    <t>1 vez por mês</t>
  </si>
  <si>
    <t>Segunda, Quarta</t>
  </si>
  <si>
    <t>Água sanitária, Detergente</t>
  </si>
  <si>
    <t>Vedação de frestas e buracos</t>
  </si>
  <si>
    <t>Comércios</t>
  </si>
  <si>
    <t>Dentro do barracão em uma moega</t>
  </si>
  <si>
    <t>Alumínio, Alumínio Lata, Alumínio Mista, Alumínio Panela, Alumínio Perfil, Bateria, BOPP, Caco vidro, Cobre Misto, Eletrônico, Fundido, Inox, Metal, Misto/Desmanche eletrônico, Papel, Papel Branco, Papel Cimento, Papel colorido, Papel Misto, Papel Terceira, Papelão, Parachoque veículo, PEAD branco/leitoso, PEAD caixa, PEAD Colorida, PEAD Garrafinha, PEBD Cristal, PEBD Lona Preta, PET Bandeja, PET, PET Branca, PET Colorida, PET Cristal, PET Óleo, PET Verde, Plástico filme, PP, PP Balde Bacia Branco, PP Balde Bacia Misto, PP branco, PP colorido, PP Garrafinha, PP Margarina, PP Mineral, PP misto, PP preto, PS, PS copinho, PVC, Ráfia, Revista, Sucata Ferro, Embalagem  longa vida, Vidro</t>
  </si>
  <si>
    <t>EPS (Isopor), BOPP - Embalagens plásticas flexíveis e laminadas, PETg (Bandeja)</t>
  </si>
  <si>
    <t>Média (M) - Área utilizada acima de 2.000 e até 10.000 m²</t>
  </si>
  <si>
    <t>Cadastro/Cartão CNPJ, Alvará de Funcionamento, Inscrição Municipal, Inscrição Estadual, Certidão de Débitos relativos a créditos tributários federais e à dívida ativa da união, Comprovante da Conta Bancária, Estatuto Social, Ata de Eleição da Diretoria Atualizada, Licença Ambiental</t>
  </si>
  <si>
    <t>Por outro meio</t>
  </si>
  <si>
    <t>Coleta Seletiva da Associação/ Cooperativa</t>
  </si>
  <si>
    <t>103.27</t>
  </si>
  <si>
    <t>Luvas, Avental, Uniforme, Botina</t>
  </si>
  <si>
    <t>Segunda, Quinta</t>
  </si>
  <si>
    <t>3 vezes por semana</t>
  </si>
  <si>
    <t>Água sanitária, Detergente, Sabão em barra, Sabão em pó, Limpadores multiuso</t>
  </si>
  <si>
    <t>Dedetização periódica</t>
  </si>
  <si>
    <t>Residências, Área rural</t>
  </si>
  <si>
    <t>Pátio sem cobertura, Barracão parcialmente coberto, Sobre um piso parcialmente impermeabilizado</t>
  </si>
  <si>
    <t>Mesas Separadoras, Chão</t>
  </si>
  <si>
    <t>Alumínio, Alumínio Panela, Alumínio Perfil, Bateria, Caco vidro, Cobre Misto, Eletrônico, Fio, Inox, Mangueira, Metal, Misto/Desmanche eletrônico, Óleo usado, Papel, Papel Branco, Papel Cimento, Papel colorido, Papel Misto, Papel Terceira, Papelão, Parachoque veículo, PEAD branco/leitoso, PEAD Colorida, PEBD Colorido, PEBD Cristal, PEBD Lona Preta, PET, PET Azul, PET Branca, PET Cristal, PET Óleo, PET Verde, Plástico filme, PP, PP Balde Bacia Branco, PP Balde Bacia Misto, PP branco, PP colorido, PP preto, PP Tampinha, PS, PS copinho, PVC, Ráfia, Reator Motor, Sucata Ferro, Sucata metálica, Embalagem  longa vida, Vidro</t>
  </si>
  <si>
    <t>Treinamentos sobre triagem e seleção dos materiais, Treinamento sobre legislação</t>
  </si>
  <si>
    <t>Pilhas e Baterias, Medicamentos e perfurocortantes, Eletroeletrônicos, Vestuário</t>
  </si>
  <si>
    <t>Cadastro/Cartão CNPJ, Alvará de Funcionamento, Inscrição Municipal, Inscrição Estadual, Certidão de Débitos relativos a créditos tributários federais e à dívida ativa da união, Certidão negativa de débitos trabalhistas, Comprovante da Conta Bancária, Estatuto Social, Ata de Eleição da Diretoria Atualizada</t>
  </si>
  <si>
    <t>Os materiais triados ficam em área parcialmente coberta, Os materiais triados ficam em área com piso parcialmente impermeabilizado</t>
  </si>
  <si>
    <t>Outra Instituição ou Organização da Sociedade Civil</t>
  </si>
  <si>
    <t>Presidente, Vice-Presidente, Tesoureiro(a), Vice-Tesoureiro(a), Secretário (a), Vice-Secretário (a), Conselho Fiscal, Outros membros</t>
  </si>
  <si>
    <t>Coleta Seletiva da Associação/ Cooperativa, Doação de Empresas</t>
  </si>
  <si>
    <t>Acima de 8h/ dia</t>
  </si>
  <si>
    <t>Luvas, Máscara, Avental, Protetor auricular, Uniforme, Óculos de proteção, Botina, Outro</t>
  </si>
  <si>
    <t>Água sanitária, Álcool, Detergente, Sabão em barra, Sabão em pó</t>
  </si>
  <si>
    <t>Vedação de frestas e buracos, Dedetização periódica, Higienização periódica da infraestrutura</t>
  </si>
  <si>
    <t>Chão batido</t>
  </si>
  <si>
    <t>Fossa negra</t>
  </si>
  <si>
    <t>Barracão parcialmente coberto</t>
  </si>
  <si>
    <t>Alumínio, Alumínio Duro, Alumínio Lata, Alumínio Mista, Alumínio Panela, Alumínio Perfil, Antimônio, Bateria, Caco vidro, Cobre Misto,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</si>
  <si>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Treinamentos sobre triagem e seleção dos materiais, Treinamentos sobre manuseio da prensa</t>
  </si>
  <si>
    <t>Legislação trabalhista de prevenção de doenças e acidentes ocupacionais (exemplo: NR7, NR9, NR15)</t>
  </si>
  <si>
    <t>Cadastro/Cartão CNPJ, Alvará de Funcionamento, Inscrição Municipal, Certidão de Débitos relativos a créditos tributários federais e à dívida ativa da união, Certidão negativa de débitos trabalhistas, Comprovante da Conta Bancária, Estatuto Social, Ata de Eleição da Diretoria Atualizada</t>
  </si>
  <si>
    <t>Os materiais triados ficam em área parcialmente coberta</t>
  </si>
  <si>
    <t>Próprios Cooperados/Associados</t>
  </si>
  <si>
    <t>Luvas, Uniforme, Óculos de proteção, Botina</t>
  </si>
  <si>
    <t>Segunda, Quarta, Sexta</t>
  </si>
  <si>
    <t>Diária</t>
  </si>
  <si>
    <t>Água sanitária, Álcool, Detergente, Sabão em barra, Sabão em pó, Limpadores multiuso</t>
  </si>
  <si>
    <t>Inseticidas</t>
  </si>
  <si>
    <t>Alumínio Lata, Alumínio Panela, Alumínio Perfil, Papel, Papel Branco, Papel colorido, Papel Misto, Papel Terceira, Papelão, PEAD caixa, PEAD Colorida, PEAD Garrafinha, PEBD Cristal, PEBD Lona Preta, PET Bandeja, PET, PET Azul, PET Branca, PET Colorida, PET Cristal, PET miolo, PET Óleo, PET Verde, Plástico filme, PP, PP Balde Bacia Branco, PP Balde Bacia Misto, PP Tampinha, PS copinho, PVC, Ráfia, Revista, Embalagem  longa vida</t>
  </si>
  <si>
    <t>Sim, catadores autônomos externos</t>
  </si>
  <si>
    <t>Cadastro/Cartão CNPJ, Estatuto Social, Ata de Eleição da Diretoria Atualizada</t>
  </si>
  <si>
    <t>Presidente, Tesoureiro(a)</t>
  </si>
  <si>
    <t>Coleta Seletiva da Prefeitura, Coleta Seletiva da Associação/ Cooperativa, Doação de Empresas, Doação de Pessoas Físicas, Catadores autônomos</t>
  </si>
  <si>
    <t>Acompanhamento pela Secretaria Municipal responsável pela parte social</t>
  </si>
  <si>
    <t>Luvas, Máscara, Protetor auricular, Uniforme, Óculos de proteção, Botina</t>
  </si>
  <si>
    <t>4 vezes por semana</t>
  </si>
  <si>
    <t>Água sanitária, Detergente, Sabão em pó, Desengordurante</t>
  </si>
  <si>
    <t>01</t>
  </si>
  <si>
    <t>LO - 255040-R2</t>
  </si>
  <si>
    <t>Associação Brasileira de Bebidas - ABRABE, Ambipar Environment Residential Colletion</t>
  </si>
  <si>
    <t>Alumínio, Alumínio Duro, Alumínio Lata, Alumínio Panela, Alumínio Perfil, Antimônio, Bateria, Caco vidro, Cobre Misto, Eletrônico, EPS/Isopor, Fio, Fundido, Inox, Inox Ferroso, Marmitex, Metal, Misto/Desmanche eletrônico, Óleo usado, Papel, Papel Branco, Papel Cimento, Papel colorido, Papel Misto, Papelão, Parachoque veículo, PEAD branco/leitoso, PEAD caixa, PEAD Colorida, PEAD Garrafinha, PEBD Colorido, PEBD Cristal, PET Bandeja, PET, PET Azul, PET Branca, PET Colorida, PET Cristal, PET Óleo, PET Verde, PP, PP Balde Bacia Branco, PP Balde Bacia Misto, PP branco, PP colorido, PP Garrafinha, PP Margarina, PP misto, PP preto, PP Tampinha, PVC, Ráfia, Reator Motor, Revista, Sucata Ferro, Sucata metálica, Sucata plástico, Embalagem  longa vida, Vidro</t>
  </si>
  <si>
    <t>Eletroeletrônicos</t>
  </si>
  <si>
    <t>Implementação da Comissão Interna de Presenção de Acidentes - CIPA</t>
  </si>
  <si>
    <t>Contrato de Prestação de Serviços com o Município, Termo de Cooperação Técnica com Entidade Gestora</t>
  </si>
  <si>
    <t>Coleta Seletiva da Associação/ Cooperativa, Doação de Empresas, Doação de Pessoas Físicas, Catadores autônomos</t>
  </si>
  <si>
    <t>Luvas, Protetor auricular, Uniforme, Óculos de proteção, Botina</t>
  </si>
  <si>
    <t>Alumínio, Alumínio Duro, Alumínio Lata, Alumínio Mista, Alumínio Panela, Alumínio Perfil, Antimônio, Bateria,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</si>
  <si>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Não, somente cooperados/associados, Sim, funcionários CLT ou Pessoa Jurídica</t>
  </si>
  <si>
    <t>Contrato de Prestação de Serviços com o Município, Termo de Cooperação ou outro com o Município com repasse de recurso</t>
  </si>
  <si>
    <t>Presidente, Vice-Presidente, Tesoureiro(a), Vice-Tesoureiro(a), Secretário (a), Vice-Secretário (a), Conselho Fiscal</t>
  </si>
  <si>
    <t>Luvas, Botina</t>
  </si>
  <si>
    <t>Aterro</t>
  </si>
  <si>
    <t>Água sanitária, Álcool, Detergente, Sabão em barra, Sabão em pó, Desengordurante, Limpadores multiuso, Outro</t>
  </si>
  <si>
    <t>Armadilhas para ratos</t>
  </si>
  <si>
    <t>Residências, Indústrias</t>
  </si>
  <si>
    <t>Alumínio, Alumínio Lata, Mangueira, Marmitex,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PVC, Rejeito, Revista, Sucata Ferro, Sucata metálica, Sucata plástico, Vidro</t>
  </si>
  <si>
    <t>Pilhas e Baterias, Lâmpadas fluorescentes, Embalagens de óleo lubrificante, Pneus inservíveis, Móveis e colchões</t>
  </si>
  <si>
    <t>EPS (Isopor), PETg (Bandeja), Embalagem cartonada, Papel misto ou de terceira</t>
  </si>
  <si>
    <t>Possui Advogado</t>
  </si>
  <si>
    <t>Terça, Quarta, Quinta</t>
  </si>
  <si>
    <t>Água sanitária, Álcool, Detergente, Sabão em barra</t>
  </si>
  <si>
    <t>Alumínio, Alumínio Duro, Alumínio Lata, Alumínio Mista, Alumínio Panela, Alumínio Perfil, Bateria, Caco vidro, Cobre Misto, Eletrônico, EPS/Isopor, Fio, Fundido, Inox, Inox Ferroso, Mangueira, Marmitex, Metal, Papel, Papel Branco, Papel colorido, Papel Misto, Papel Terceira, Papelão, PEAD caixa, PEAD Garrafinha, PEBD Lona Preta, PET Bandeja, PET, PET Azul, PET Branca, PET Colorida, PET Cristal, PET Verde, Plástico filme, PP Balde Bacia Branco, PP Balde Bacia Misto, PP Garrafinha, PP Margarina, PP Tampinha, PS copinho, PVC, Revista, Sucata Ferro, Sucata metálica, Sucata plástico, Embalagem  longa vida, Vidro</t>
  </si>
  <si>
    <t>Caçamba, Outro</t>
  </si>
  <si>
    <t>Pilhas e Baterias, Lâmpadas fluorescentes, Embalagens de óleo lubrificante, Eletroeletrônicos, Vestuário</t>
  </si>
  <si>
    <t>Cadastro/Cartão CNPJ, Alvará de Funcionamento, Inscrição Municipal, Certidão negativa de débitos trabalhistas, Estatuto Social, Ata de Eleição da Diretoria Atualizada, Termo ou Auto de Vistoria do Corpo de Bombeiros</t>
  </si>
  <si>
    <t>0, 1</t>
  </si>
  <si>
    <t>Os materiais triados ficam em área com piso parcialmente impermeabilizado</t>
  </si>
  <si>
    <t>Entidade Gestora, Prefeitura, Próprios Cooperados/Associados</t>
  </si>
  <si>
    <t>Luvas, Máscara, Avental, Protetor auricular, Óculos de proteção, Botina</t>
  </si>
  <si>
    <t>Sim, entre 50% a 100%</t>
  </si>
  <si>
    <t>Água sanitária, Detergente, Sabão em pó, Limpadores multiuso, Outro</t>
  </si>
  <si>
    <t>Armadilhas para ratos, Higienização periódica da infraestrutura, Outro</t>
  </si>
  <si>
    <t>Residências, Área rural, Outros</t>
  </si>
  <si>
    <t>Fossa séptica + sumidouro (infiltração no solo), Coleta por empresa especializada</t>
  </si>
  <si>
    <t>LO - 33/2023</t>
  </si>
  <si>
    <t>Alumínio, Alumínio Duro, Alumínio Lata, Alumínio Mista, Alumínio Panela, Alumínio Perfil, Antimônio,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PP, PP Balde Bacia Branco, PP Balde Bacia Misto, PP branco, PP colorido, PP Garrafinha, PP Margarina, PP Mineral, PP misto, PP preto, PP Tampinha, PS, PS copinho, PVC, Ráfia, Reator Motor, Rejeito, Revista, Sucata Ferro, Sucata metálica, Sucata plástico, Embalagem  longa vida, Vidro</t>
  </si>
  <si>
    <t>BOPP - Embalagens plásticas flexíveis e laminadas, PETg (Bandeja), Embalagem cartonada</t>
  </si>
  <si>
    <t>Cadastro/Cartão CNPJ, Alvará de Funcionamento, Ata de Eleição da Diretoria Atualizada, Termo ou Auto de Vistoria do Corpo de Bombeiros, Licença Ambiental</t>
  </si>
  <si>
    <t>Prefeitura, Próprios Cooperados/Associados</t>
  </si>
  <si>
    <t>Água sanitária, Detergente, Sabão em pó</t>
  </si>
  <si>
    <t>LAS 335444</t>
  </si>
  <si>
    <t>Alumínio, BOPP, Caco vidro, Mangueira, Orgânicos, Papel, Papel Branco, Papel Misto, Papelão, PEAD branco/leitoso, PEAD Colorida, PET Bandeja, PET, PET Cristal, PET Óleo, Plástico filme, PP, PP branco, PP preto, PVC, Ráfia, Revista, Sucata Ferro, Embalagem  longa vida</t>
  </si>
  <si>
    <t>EPS (Isopor), BOPP - Embalagens plásticas flexíveis e laminadas, PETg (Bandeja), Embalagem cartonada, Papel misto ou de terceira</t>
  </si>
  <si>
    <t>Cadastro/Cartão CNPJ, Alvará de Funcionamento, Certidão de Débitos relativos a créditos tributários federais e à dívida ativa da união, Certidão negativa de débitos trabalhistas, Comprovante da Conta Bancária, Estatuto Social, Ata de Eleição da Diretoria Atualizada, Licença Ambiental</t>
  </si>
  <si>
    <t>Presidente, Tesoureiro(a), Secretário (a)</t>
  </si>
  <si>
    <t>Terça, Quarta, Quinta, Sexta</t>
  </si>
  <si>
    <t>Água sanitária, Álcool, Detergente</t>
  </si>
  <si>
    <t>Dedetização periódica, Armadilhas para ratos</t>
  </si>
  <si>
    <t>Licença de Operação - ampliação 14170 - vigente</t>
  </si>
  <si>
    <t>Instituto Paranaense de Reciclagem - InPAR</t>
  </si>
  <si>
    <t>Alumínio, Alumínio Duro, Alumínio Lata, Alumínio Mista, Alumínio Panela, Alumínio Perfil, Antimônio, Bateria, BOPP, Caco vidro, Cobre Misto, Eletrônico, EPS/Isopor,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</si>
  <si>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Treinamentos sobre triagem e seleção dos materiais, Treinamentos sobre manuseio da prensa, Treinamento sobre legislação, Treinamento sobre Saúde, Outros</t>
  </si>
  <si>
    <t>Prefeitura, Governo do Paraná, Outra Instituição ou Organização da Sociedade Civil, Fornecedor do equipamento</t>
  </si>
  <si>
    <t>Acompanhamento pela Secretaria Municipal responsável pela parte social, Acompanhamento pela Secretaria Municipal responsável pela Vigilância Ambiental, Acompanhamento pela Secretaria Municipal responsável pelo Meio Ambiente</t>
  </si>
  <si>
    <t>Luvas, Avental, Protetor auricular, Uniforme, Óculos de proteção, Botina</t>
  </si>
  <si>
    <t>Vedação de frestas e buracos, Dedetização periódica, Expedição de rejeitos com frequência adequada, Inseticidas</t>
  </si>
  <si>
    <t>Fossa séptica + descarte em corpo hídrico</t>
  </si>
  <si>
    <t>LAS - 286022</t>
  </si>
  <si>
    <t>Chão</t>
  </si>
  <si>
    <t>Papel, Papelão, PET, Rejeito, Vidro</t>
  </si>
  <si>
    <t>Treinamentos sobre triagem e seleção dos materiais</t>
  </si>
  <si>
    <t>BOPP - Embalagens plásticas flexíveis e laminadas, Papel misto ou de terceira</t>
  </si>
  <si>
    <t>Legislação trabalhista de prevenção de doenças e acidentes ocupacionais (exemplo: NR7, NR9, NR15), Programa de Prevenção de Riscos Ambientais - PPRA ou Plano de Gerenciamento de Riscos - PGR</t>
  </si>
  <si>
    <t>Cadastro/Cartão CNPJ, Comprovante da Conta Bancária, Licença Ambiental</t>
  </si>
  <si>
    <t>Presidente, Vice-Presidente</t>
  </si>
  <si>
    <t>LAS - 337920</t>
  </si>
  <si>
    <t>EPS/Isopor, Marmitex, Óleo usado, Orgânicos, Reator Motor, Rejeito</t>
  </si>
  <si>
    <t>EPS (Isopor), Outros</t>
  </si>
  <si>
    <t>Cadastro/Cartão CNPJ, Certidão de Débitos relativos a créditos tributários federais e à dívida ativa da união, Certidão negativa de débitos trabalhistas, Estatuto Social, Ata de Eleição da Diretoria Atualizada, Licença Ambiental</t>
  </si>
  <si>
    <t>Governo do Paraná</t>
  </si>
  <si>
    <t>Presidente, Vice-Presidente, Tesoureiro(a), Vice-Tesoureiro(a), Secretário (a), Vice-Secretário (a)</t>
  </si>
  <si>
    <t>Acompanhamento pela Secretaria Municipal responsável pelo Meio Ambiente</t>
  </si>
  <si>
    <t>Segunda, Terça, Quinta, Sexta</t>
  </si>
  <si>
    <t>Higienização periódica da infraestrutura</t>
  </si>
  <si>
    <t>Barracão totalmente coberto, Sobre um piso sem impermeabilização</t>
  </si>
  <si>
    <t>Alumínio, Alumínio Duro, Alumínio Lata, Alumínio Mista, Alumínio Panela, Alumínio Perfil, Bateria, Cobre Misto, Eletrônico, Fio, Fundido, Inox, Inox Ferroso,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copinho, PVC, Ráfia, Revista, Sucata Ferro, Sucata metálica, Sucata plástico, Embalagem  longa vida</t>
  </si>
  <si>
    <t>Treinamento sobre Saúde, Outros</t>
  </si>
  <si>
    <t>Cadastro/Cartão CNPJ, Certidão de Débitos relativos a créditos tributários federais e à dívida ativa da união, Certidão negativa de débitos trabalhistas, Comprovante da Conta Bancária, Estatuto Social, Ata de Eleição da Diretoria Atualizada</t>
  </si>
  <si>
    <t>Prefeitura, Fornecedor do equipamento, Responsável Técnico, consultor ou assessoria contratada</t>
  </si>
  <si>
    <t>Luvas, Máscara, Avental, Uniforme, Botina, Outro</t>
  </si>
  <si>
    <t>Vai para o aterro</t>
  </si>
  <si>
    <t>2 vezes na semana</t>
  </si>
  <si>
    <t>Água sanitária, Detergente, Limpadores multiuso, Outro</t>
  </si>
  <si>
    <t>Alumínio, Papel, PET Bandeja, PET, PET Colorida, PP Balde Bacia Branco, Sucata Ferro, Vidro</t>
  </si>
  <si>
    <t>Lâmpadas fluorescentes, Vestuário</t>
  </si>
  <si>
    <t>EPS (Isopor), Papel misto ou de terceira</t>
  </si>
  <si>
    <t>Sim, voluntários</t>
  </si>
  <si>
    <t>Cadastro/Cartão CNPJ, Estatuto Social</t>
  </si>
  <si>
    <t>Coleta Seletiva da Prefeitura, Coleta Seletiva da Associação/ Cooperativa, Catadores autônomos</t>
  </si>
  <si>
    <t>Luvas, Avental, Botina</t>
  </si>
  <si>
    <t>LAS 159700</t>
  </si>
  <si>
    <t>Dentro do barracão no piso, Dentro do barracão em uma moega</t>
  </si>
  <si>
    <t>Alumínio, Alumínio Duro, Alumínio Lata, Alumínio Mista, Alumínio Panela, Alumínio Perfil, Antimônio, Bateria, Caco vidro, Cobre Misto, Eletrônico, EPS/Isopor, Fio, Fundido, Inox, Inox Ferroso, Mangueira, Metal, Misto/Desmanche eletrônico,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</si>
  <si>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EPS (Isopor), PETg (Bandeja)</t>
  </si>
  <si>
    <t>Cadastro/Cartão CNPJ, Alvará de Funcionamento, Inscrição Municipal, Inscrição Estadual, Certidão de Débitos relativos a créditos tributários federais e à dívida ativa da união, Certidão negativa de débitos trabalhistas, Comprovante da Conta Bancária, Estatuto Social, Ata de Eleição da Diretoria Atualizada, Licença Ambiental</t>
  </si>
  <si>
    <t>Luvas, Máscara, Avental</t>
  </si>
  <si>
    <t>Venda para empresa privada</t>
  </si>
  <si>
    <t>diariamente</t>
  </si>
  <si>
    <t>Vedação de frestas e buracos, Dedetização periódica, Expedição de rejeitos com frequência adequada, Armadilhas para ratos, Inseticidas, Higienização periódica da infraestrutura</t>
  </si>
  <si>
    <t>PROTOCOLO 22.534.081-1</t>
  </si>
  <si>
    <t>Alumínio, Alumínio Duro, Alumínio Lata, Alumínio Mista, Alumínio Panela, Alumínio Perfil, Antimônio, Bateria, Caco vidro, Cobre Misto, Eletrônico, Fundido, Inox, Inox Ferroso, Mangueira, Marmitex, Metal, Papel, Papel Branco, Papel Cimento, Papel colorido, Papel Misto, Papel Terceira, Papelão, Parachoque veículo, PEAD branco/leitoso, PEAD caixa, PEAD Colorida, PEAD Garrafinha, PEBD Colorido, PEBD Cristal, PEBD Lona Preta, PET Bandeja, PET, PET Branca, PET Colorida, PET Cristal, PET Óleo, PET Verde, Plástico filme, PP, PP Balde Bacia Branco, PP Balde Bacia Misto, PP branco, PP colorido, PP Garrafinha, PP Margarina, PP Mineral, PP misto, PP preto, PS, PS copinho, PVC, Ráfia, Sucata Ferro, Sucata metálica, Sucata plástico, Vidro</t>
  </si>
  <si>
    <t>Entidade Gestora, Prefeitura, Governo do Paraná</t>
  </si>
  <si>
    <t xml:space="preserve">PREFEITURA RECOLHE E LEVA PARA AS CAÇAMBAS DE ORGANICO </t>
  </si>
  <si>
    <t>Água sanitária, Limpa vidros, Limpadores multiuso</t>
  </si>
  <si>
    <t>Dedetização periódica, Armadilhas para ratos, Higienização periódica da infraestrutura</t>
  </si>
  <si>
    <t>Indústrias, Área rural</t>
  </si>
  <si>
    <t>294092-R1</t>
  </si>
  <si>
    <t>Pátio coberto, Barracão parcialmente coberto, Sobre um piso totalmente impermeabilizado</t>
  </si>
  <si>
    <t>Alumínio, Alumínio Duro, Alumínio Lata, Alumínio Mista, Alumínio Panela, Alumínio Perfil, Caco vidro, Cobre Misto, Fio, Fundido, Inox, Inox Ferroso, Mangueira, Marmitex,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</si>
  <si>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Treinamento sobre Saúde</t>
  </si>
  <si>
    <t>Cadastro/Cartão CNPJ, Alvará de Funcionamento, Inscrição Municipal, Certidão negativa de débitos trabalhistas, Comprovante da Conta Bancária, Estatuto Social, Ata de Eleição da Diretoria Atualizada, Licença Ambiental</t>
  </si>
  <si>
    <t>Presidente, Tesoureiro(a), Secretário (a), Conselho Fiscal</t>
  </si>
  <si>
    <t>Luvas, Máscara, Avental, Uniforme, Óculos de proteção, Botina</t>
  </si>
  <si>
    <t>TRANSBORDO</t>
  </si>
  <si>
    <t>Terça, Quinta</t>
  </si>
  <si>
    <t>Água sanitária, Outro</t>
  </si>
  <si>
    <t>Inseticidas, Outro</t>
  </si>
  <si>
    <t>Alumínio, Alumínio Duro, Alumínio Lata, Alumínio Panela, Caco vidro, EPS/Isopor, Marmitex, Metal, Papel, Papel Branco, Papel Cimento, Papel colorido, Papel Misto, Papel Terceira, Papelão, PEAD branco/leitoso, PEAD caixa, PEAD Colorida, PEAD Garrafinha, PEBD Colorido, PEBD Cristal, PEBD Lona Preta, PET Bandeja, PET, PET Colorida, PET Cristal, PET Óleo, PET Verde, Plástico filme, PP, PP Balde Bacia Branco, PP Balde Bacia Misto, PP branco, PP colorido, PP Garrafinha, PP Margarina, PP misto, PS, PS copinho, PVC, Ráfia, Revista, Sucata Ferro, Embalagem  longa vida, Vidro</t>
  </si>
  <si>
    <t>Embalagens de óleo lubrificante</t>
  </si>
  <si>
    <t>Estatuto Social, Ata de Eleição da Diretoria Atualizada</t>
  </si>
  <si>
    <t>Coleta Seletiva da Associação/ Cooperativa, Doação de Empresas, Doação de Pessoas Físicas</t>
  </si>
  <si>
    <t>Terça, Quarta, Sexta</t>
  </si>
  <si>
    <t>Vedação de frestas e buracos, Expedição de rejeitos com frequência adequada, Higienização periódica da infraestrutura</t>
  </si>
  <si>
    <t>Alumínio, Alumínio Duro, Alumínio Lata, Alumínio Mista, Alumínio Panela, Alumínio Perfil, Antimônio, Bateria,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</si>
  <si>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Lâmpadas fluorescentes, Eletroeletrônicos, Pneus inservíveis, Móveis e colchões, Vestuário</t>
  </si>
  <si>
    <t>Cadastro/Cartão CNPJ, Inscrição Estadual, Comprovante da Conta Bancária, Estatuto Social, Ata de Eleição da Diretoria Atualizada</t>
  </si>
  <si>
    <t>Conselho Fiscal, Outros membros</t>
  </si>
  <si>
    <t>Doação para a prefeitura usar em jardins e arborização</t>
  </si>
  <si>
    <t>Terça, Sexta</t>
  </si>
  <si>
    <t>271782-R1</t>
  </si>
  <si>
    <t>Alumínio, Alumínio Lata, Alumínio Perfil, Caco vidro, Cobre Misto, Marmitex, Papel, Papel Branco, Papel Cimento, Papel colorido, Papel Misto, Papelão, Parachoque veículo, PEAD branco/leitoso, PEAD caixa, PEAD Colorida, PEAD Garrafinha, PEBD Colorido, PEBD Cristal, PEBD Lona Preta, PET Bandeja, PET, PET Branca, PET Colorida, PET Cristal, PET Óleo, PET Verde, Plástico filme, PP, PP Balde Bacia Misto, PP branco, PP colorido, PP Garrafinha, PP Margarina, PP Mineral, PP misto, PP preto, PS copinho, PVC, Ráfia, Sucata Ferro, Sucata plástico, Vidro</t>
  </si>
  <si>
    <t>Big-bags, Caçamba</t>
  </si>
  <si>
    <t>Cadastro/Cartão CNPJ, Alvará de Funcionamento, Inscrição Municipal, Inscrição Estadual, Comprovante da Conta Bancária, Estatuto Social, Ata de Eleição da Diretoria Atualizada, Licença Ambiental</t>
  </si>
  <si>
    <t>Presidente, Vice-Presidente, Secretário (a), Vice-Secretário (a)</t>
  </si>
  <si>
    <t>877.40</t>
  </si>
  <si>
    <t>Luvas, Máscara, Avental, Protetor auricular, Uniforme, Botina</t>
  </si>
  <si>
    <t>Detergente</t>
  </si>
  <si>
    <t>Expedição de rejeitos com frequência adequada, Armadilhas para ratos</t>
  </si>
  <si>
    <t>LAS-291672 PROT. 19.832.622-4</t>
  </si>
  <si>
    <t>Alumínio, Alumínio Duro, Alumínio Lata, Alumínio Mista, Alumínio Panela, Alumínio Perfil, BOPP, Caco vidro, Cobre Misto, Eletrônico, EPS/Isopor, Fio, Fundido, Inox, Inox Ferroso, Mangueira, Marmitex, Metal, Misto/Desmanche eletrônico, Papel, Papel Branco, Papel Cimento, Papel colorido, Papel Misto, Papel Terceira, Papelão,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</si>
  <si>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Embalagens de óleo lubrificante, Eletroeletrônicos</t>
  </si>
  <si>
    <t>Cadastro/Cartão CNPJ, Inscrição Estadual, Ata de Eleição da Diretoria Atualizada, Licença Ambiental</t>
  </si>
  <si>
    <t>ATERRO SANITÁRIO</t>
  </si>
  <si>
    <t>3 VEZES POR SEMANA</t>
  </si>
  <si>
    <t>Álcool, Querosene, Detergente, Sabão em barra, Sabão em pó, Desengordurante, Limpadores multiuso</t>
  </si>
  <si>
    <t>Alumínio, Bateria, Caco vidro, Cobre Misto, Eletrônico, Fio, Fundido, Inox, Mangueira, Misto/Desmanche eletrônico, Orgânicos, Papel, Papelão, Parachoque veículo, PEAD caixa, PET, Plástico filme, PP Balde Bacia Branco, Ráfia, Rejeito, Sucata Ferro, Sucata metálica, Sucata plástico, Embalagem  longa vida, Vidro</t>
  </si>
  <si>
    <t>Pilhas e Baterias, Lâmpadas fluorescentes, Eletroeletrônicos, Móveis e colchões, Vestuário</t>
  </si>
  <si>
    <t>Cadastro/Cartão CNPJ, Alvará de Funcionamento, Inscrição Municipal, Inscrição Estadual, Certidão de Débitos relativos a créditos tributários federais e à dívida ativa da união, Certidão negativa de débitos trabalhistas, Comprovante da Conta Bancária, Ata de Eleição da Diretoria Atualizada, Licença Ambiental</t>
  </si>
  <si>
    <t>Prefeitura, Outra Instituição ou Organização da Sociedade Civil, Próprios Cooperados/Associados</t>
  </si>
  <si>
    <t>Água sanitária, Álcool, Detergente, Sabão em barra, Sabão em pó, Desengordurante, Limpadores multiuso</t>
  </si>
  <si>
    <t>Vedação de frestas e buracos, Dedetização periódica, Expedição de rejeitos com frequência adequada, Inseticidas, Higienização periódica da infraestrutura</t>
  </si>
  <si>
    <t>LAS - 243946</t>
  </si>
  <si>
    <t>Alumínio, Alumínio Duro, Alumínio Lata, Alumínio Mista, Alumínio Panela, Alumínio Perfil, Caco vidro, Fio, Fundido, Metal, Óleo usado, Papel, Papel Branco, Papel Cimento, Papel colorido, Papel Misto, Papel Terceira, Papelão, PEAD branco/leitoso, PEAD caixa, PEAD Colorida, PEAD Garrafinha, PET Bandeja, PET, PET Azul, PET Branca, PET Colorida, PET Cristal, PET miolo, PET Óleo, PET Verde, Plástico filme, PP, PP Balde Bacia Branco, PP Balde Bacia Misto, PP branco, PP colorido, PP Garrafinha, PP Margarina, PP Mineral, PP misto, PP preto, PP Tampinha, Sucata Ferro, Sucata metálica, Embalagem  longa vida, Vidro</t>
  </si>
  <si>
    <t>Treinamentos sobre triagem e seleção dos materiais, Treinamentos sobre manuseio da prensa, Treinamento sobre legislação, Treinamento sobre notas fiscais, Treinamento sobre MTR, Treinamento sobre Marketing e Comunicação, Treinamento sobre Saúde</t>
  </si>
  <si>
    <t>Pilhas e Baterias, Eletroeletrônicos, Vestuário</t>
  </si>
  <si>
    <t>Próprios Cooperados/Associados, Responsável Técnico, consultor ou assessoria contratada</t>
  </si>
  <si>
    <t>Água sanitária, Álcool, Detergente, Limpadores multiuso</t>
  </si>
  <si>
    <t>LAS - Protocolo nº 20.912.664-8</t>
  </si>
  <si>
    <t>390000.00</t>
  </si>
  <si>
    <t>Alumínio, Alumínio Duro, Alumínio Lata, Alumínio Panela, Alumínio Perfil, Bateria, Caco vidro, Cobre Misto, Eletrônico, Fio, Inox, Inox Ferroso, Mangueira, Metal, Misto/Desmanche eletrônico, Papel, Papel Branco, Papel Cimento, Papel colorido, Papel Misto, Papel Terceira, Papelão, Parachoque veículo, PEAD branco/leitoso, PEAD caixa, PEAD Colorida, PEAD Garrafinha, PEBD Colorido, PEBD Cristal, PEBD Lona Preta, PET, PET Azul, PET Branca, PET Cristal, PET Óleo, PET Verde, Plástico filme, PP, PP Balde Bacia Branco, PP branco, PP colorido, PP Garrafinha, PP Margarina, PP misto, PP preto, PP Tampinha, PVC, Rejeito, Revista, Sucata Ferro, Vidro</t>
  </si>
  <si>
    <t>Pilhas e Baterias, Lâmpadas fluorescentes, Embalagens de óleo lubrificante, Eletroeletrônicos</t>
  </si>
  <si>
    <t>Legislação trabalhista de prevenção de doenças e acidentes ocupacionais (exemplo: NR7, NR9, NR15), Programa de Prevenção de Riscos Ambientais - PPRA ou Plano de Gerenciamento de Riscos - PGR, Programa de Controle Médico de Saúde Ocupacional - PCMSO</t>
  </si>
  <si>
    <t>Entidade Gestora, Próprios Cooperados/Associados</t>
  </si>
  <si>
    <t>250000.00</t>
  </si>
  <si>
    <t>Luvas, Máscara, Protetor auricular, Óculos de proteção, Botina</t>
  </si>
  <si>
    <t>Segunda, Terça, Quarta, Quinta</t>
  </si>
  <si>
    <t>Água sanitária, Álcool, Detergente, Sabão em barra, Limpadores multiuso</t>
  </si>
  <si>
    <t>DLAE - 326810</t>
  </si>
  <si>
    <t>Associação Brasileira da Indústria de Higiene Pessoal, Perfumaria e Cosméticos – ABIHPEC</t>
  </si>
  <si>
    <t>Alumínio, Alumínio Lata, Alumínio Mista, Alumínio Panela, Alumínio Perfil, Bateria, Caco vidro, Cobre Misto, Eletrônico, Fio, Inox,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Cristal, PET Óleo, PET Verde, PP Balde Bacia Branco, PP Balde Bacia Misto, PP branco, PP colorido, PP Garrafinha, PP Margarina, PP Mineral, PP misto, PP preto, PP Tampinha, PVC, Reator Motor, Revista, Sucata Ferro, Sucata metálica, Embalagem  longa vida, Vidro</t>
  </si>
  <si>
    <t>Treinamentos sobre triagem e seleção dos materiais, Treinamentos sobre manuseio da prensa, Treinamento sobre notas fiscais, Treinamento sobre MTR</t>
  </si>
  <si>
    <t>Por meio de entidades gestoras</t>
  </si>
  <si>
    <t>Entidade Gestora, Outra Instituição ou Organização da Sociedade Civil</t>
  </si>
  <si>
    <t>Doação de Empresas, Doação de Pessoas Físicas</t>
  </si>
  <si>
    <t>Água sanitária, Detergente, Sabão em barra, Desengordurante, Limpadores multiuso</t>
  </si>
  <si>
    <t>LAS 325009</t>
  </si>
  <si>
    <t>A céu aberto, Dentro do barracão no piso</t>
  </si>
  <si>
    <t>Alumínio, Alumínio Duro, Alumínio Lata, Alumínio Mista, Alumínio Panela, Alumínio Perfil, Caco vidro, Eletrônico, EPS/Isopor, Marmitex,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</si>
  <si>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Eletroeletrônicos, Móveis e colchões</t>
  </si>
  <si>
    <t>Cadastro/Cartão CNPJ, Alvará de Funcionamento, Estatuto Social</t>
  </si>
  <si>
    <t>Presidente, Secretário (a)</t>
  </si>
  <si>
    <t>A cada 15 dias</t>
  </si>
  <si>
    <t>Detergente, Sabão em pó, Limpadores multiuso</t>
  </si>
  <si>
    <t>LAS - 214215</t>
  </si>
  <si>
    <t>Pátio sem cobertura</t>
  </si>
  <si>
    <t>Alumínio, Alumínio Duro, Alumínio Lata, Alumínio Mista, Alumínio Panela, Alumínio Perfil, Bateria, Cobre Misto, Eletrônico, Fio, Inox, Metal, Misto/Desmanche eletrônico, Papel Branco, Papel Cimento, Papel colorido, Papel Misto, Papelão, Parachoque veículo, PEAD branco/leitoso, PEAD caixa, PEAD Colorida, PEAD Garrafinha, PEBD Colorido, PEBD Cristal, PEBD Lona Preta, PET Bandeja, PET, PET Azul, PET Branca, PET Colorida, PET Cristal, PET Óleo, PET Verde, PP, PP Balde Bacia Branco, PP Balde Bacia Misto, PP branco, PP colorido, PP Garrafinha, PP Margarina, PP Mineral, PP misto, PP preto, PS copinho, PVC, Reator Motor, Revista, Sucata Ferro, Sucata metálica, Sucata plástico</t>
  </si>
  <si>
    <t>Cadastro/Cartão CNPJ, Inscrição Municipal, Inscrição Estadual, Estatuto Social, Ata de Eleição da Diretoria Atualizada</t>
  </si>
  <si>
    <t>Presidente, Vice-Presidente, Tesoureiro(a), Vice-Tesoureiro(a), Secretário (a)</t>
  </si>
  <si>
    <t>Luvas, Máscara, Botina</t>
  </si>
  <si>
    <t>Residências, Indústrias, Área rural</t>
  </si>
  <si>
    <t>LAS 22.435.514-9</t>
  </si>
  <si>
    <t>Barracão parcialmente coberto, Sobre um piso parcialmente impermeabilizado</t>
  </si>
  <si>
    <t>Alumínio, Alumínio Duro, Alumínio Lata, Alumínio Panela, Alumínio Perfil, Bateria, Caco vidro, Cobre Misto, Eletrônico, Metal, Misto/Desmanche eletrônico, Orgânicos, Papel, Papel Branco, Papel Misto, Papel Terceira, Papelão, Parachoque veículo, PEAD branco/leitoso, PEAD caixa, PEAD Colorida, PEAD Garrafinha, PEBD Colorido, PEBD Cristal, PET, PET Colorida, PET Cristal, PET miolo, PET Óleo, PP, PP Balde Bacia Branco, PP Balde Bacia Misto, PP branco, PP colorido, PP Garrafinha, PP Margarina, PP Mineral, PP misto, PP preto, PP Tampinha, PS copinho, PVC, Ráfia, Reator Motor, Rejeito, Revista, Sucata Ferro, Sucata metálica, Sucata plástico, Embalagem  longa vida, Vidro</t>
  </si>
  <si>
    <t>Pilhas e Baterias, Medicamentos e perfurocortantes, Lâmpadas fluorescentes, Embalagens de óleo lubrificante, Eletroeletrônicos, Pneus inservíveis, Vestuário</t>
  </si>
  <si>
    <t>EPS (Isopor), BOPP - Embalagens plásticas flexíveis e laminadas, PETg (Bandeja), Outros</t>
  </si>
  <si>
    <t>Programa de Prevenção de Riscos Ambientais - PPRA ou Plano de Gerenciamento de Riscos - PGR, Programa de Controle Médico de Saúde Ocupacional - PCMSO, Laudo Técnico das Condições Ambientais de Trabalho - LTCAT</t>
  </si>
  <si>
    <t>Grande (G) - Área utilizada acima de 10.000m²</t>
  </si>
  <si>
    <t>Luvas, Uniforme, Botina</t>
  </si>
  <si>
    <t>LAS - PROTOCOLO 19.569.458-3</t>
  </si>
  <si>
    <t>Polen Consultoria e Intermediação de Negócios em Sustentabilidade LTDA</t>
  </si>
  <si>
    <t>Alumínio, Alumínio Lata, Alumínio Panela, Bateria, Caco vidro, Cobre Misto, Eletrônico, EPS/Isopor, Fio, Inox, Metal, Papel, Papel Branco, Papel Cimento, Papel Misto, Papelão, Parachoque veículo, PEAD branco/leitoso, PEAD Colorida, PEBD Cristal, PEBD Lona Preta, PET Cristal, PET Óleo, PET Verde, Plástico filme, PP preto, PS copinho, PVC, Ráfia, Sucata Ferro, Embalagem  longa vida</t>
  </si>
  <si>
    <t>Lâmpadas fluorescentes, Eletroeletrônicos, Pneus inservíveis</t>
  </si>
  <si>
    <t>Entidade Gestora, Prefeitura, Fornecedor do equipamento</t>
  </si>
  <si>
    <t>2 VEZ POR SEMANA</t>
  </si>
  <si>
    <t>Água sanitária, Limpa vidros, Detergente, Sabão em pó, Desengordurante, Limpadores multiuso</t>
  </si>
  <si>
    <t>Vedação de frestas e buracos, Expedição de rejeitos com frequência adequada, Armadilhas para ratos</t>
  </si>
  <si>
    <t>LAS 172.282</t>
  </si>
  <si>
    <t>Pátio sem cobertura, Barracão totalmente coberto</t>
  </si>
  <si>
    <t>Alumínio, Caco vidro, Cobre Misto, Eletrônico, Inox, Metal, Papel, Papel Branco, Papelão, PET, Plástico filme, PP, Sucata Ferro, Sucata metálica, Sucata plástico, Embalagem  longa vida, Vidro</t>
  </si>
  <si>
    <t>Cadastro/Cartão CNPJ, Certidão negativa de débitos trabalhistas, Comprovante da Conta Bancária, Licença Ambiental</t>
  </si>
  <si>
    <t>Água sanitária, Álcool, Limpa vidros, Sabão em pó, Desengordurante, Limpadores multiuso</t>
  </si>
  <si>
    <t>Vedação de frestas e buracos, Dedetização periódica, Expedição de rejeitos com frequência adequada, Armadilhas para ratos</t>
  </si>
  <si>
    <t>LAS-337242-R1</t>
  </si>
  <si>
    <t>Instituto de Logística Reversa - ILOG</t>
  </si>
  <si>
    <t>Treinamentos sobre triagem e seleção dos materiais, Treinamento sobre notas fiscais, Treinamento sobre Saúde</t>
  </si>
  <si>
    <t>Pilhas e Baterias, Medicamentos e perfurocortantes, Lâmpadas fluorescentes, Eletroeletrônicos, Vestuário</t>
  </si>
  <si>
    <t>PETg (Bandeja)</t>
  </si>
  <si>
    <t>Cadastro/Cartão CNPJ, Alvará de Funcionamento, Inscrição Municipal, Certidão de Débitos relativos a créditos tributários federais e à dívida ativa da união, Certidão negativa de débitos trabalhistas, Comprovante da Conta Bancária, Estatuto Social, Ata de Eleição da Diretoria Atualizada, Termo ou Auto de Vistoria do Corpo de Bombeiros, Licença Ambiental</t>
  </si>
  <si>
    <t>Por meio do município, Por meio de outra instituição, ONG ou por projeto/Edital</t>
  </si>
  <si>
    <t>Presidente, Vice-Presidente, Tesoureiro(a), Outros membros</t>
  </si>
  <si>
    <t>Indústrias, Outros</t>
  </si>
  <si>
    <t>LAS-337238-R1</t>
  </si>
  <si>
    <t>Pátio coberto</t>
  </si>
  <si>
    <t>Por meio do município, Por meio de Responsável Técnico contratado</t>
  </si>
  <si>
    <t>LAS-263989</t>
  </si>
  <si>
    <t>Segunda, Sexta</t>
  </si>
  <si>
    <t>LAS- 254891</t>
  </si>
  <si>
    <t>Requerimento 286316</t>
  </si>
  <si>
    <t>Alumínio, Alumínio Duro, Alumínio Lata, Alumínio Mista, Alumínio Panela, Alumínio Perfil, Caco vidro, Metal, Papel, Papel Branco, Papel Cimento, Papel colorido, Papel Misto, Papel Terceira, Papelão, PEAD branco/leitoso, PEAD caixa, PEAD Colorida, PEAD Garrafinha, PEBD Colorido, PEBD Cristal, PET Bandeja, PET, PET Azul, PET Branca, PET Colorida, PET Cristal, PET miolo, PET Óleo, PET Verde, PP, PP Balde Bacia Branco, PP Balde Bacia Misto, PP branco, PP Margarina, PP Mineral, PP misto, PP Tampinha, PS, PVC, Sucata Ferro, Sucata metálica, Sucata plástico, Embalagem  longa vida, Vidro</t>
  </si>
  <si>
    <t>Cadastro/Cartão CNPJ, Alvará de Funcionamento, Inscrição Municipal, Certidão de Débitos relativos a créditos tributários federais e à dívida ativa da união, Certidão negativa de débitos trabalhistas, Comprovante da Conta Bancária, Estatuto Social, Ata de Eleição da Diretoria Atualizada, Termo ou Auto de Vistoria do Corpo de Bombeiros</t>
  </si>
  <si>
    <t>Expedição de rejeitos com frequência adequada, Higienização periódica da infraestrutura</t>
  </si>
  <si>
    <t>Por meio do município, Por outro meio</t>
  </si>
  <si>
    <t>Presidente, Vice-Presidente, Tesoureiro(a), Vice-Tesoureiro(a), Secretário (a), Conselho Fiscal, Outros membros</t>
  </si>
  <si>
    <t>Água sanitária, Detergente, Sabão em barra, Sabão em pó</t>
  </si>
  <si>
    <t>Dedetização periódica, Inseticidas, Higienização periódica da infraestrutura</t>
  </si>
  <si>
    <t>22.329.909-1</t>
  </si>
  <si>
    <t>Eletroeletrônicos, Pneus inservíveis</t>
  </si>
  <si>
    <t>Cadastro/Cartão CNPJ, Alvará de Funcionamento, Certidão de Débitos relativos a créditos tributários federais e à dívida ativa da união, Certidão negativa de débitos trabalhistas, Comprovante da Conta Bancária, Estatuto Social, Ata de Eleição da Diretoria Atualizada, Termo ou Auto de Vistoria do Corpo de Bombeiros, Licença Ambiental</t>
  </si>
  <si>
    <t>Presidente, Vice-Presidente, Tesoureiro(a), Vice-Tesoureiro(a), Secretário (a), Outros membros</t>
  </si>
  <si>
    <t>Álcool, Detergente, Sabão em barra</t>
  </si>
  <si>
    <t>requerimento 306.227</t>
  </si>
  <si>
    <t>Pátio sem cobertura, Barracão totalmente coberto, Sobre um piso totalmente impermeabilizado</t>
  </si>
  <si>
    <t>010.00</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</si>
  <si>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</si>
  <si>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249282.00</t>
  </si>
  <si>
    <t>não gera composto organico</t>
  </si>
  <si>
    <t>Água sanitária, Álcool, Limpa vidros, Detergente, Sabão em barra, Sabão em pó, Desengordurante, Limpadores multiuso, Outro</t>
  </si>
  <si>
    <t>16.021.773-1</t>
  </si>
  <si>
    <t>Alumínio, Alumínio Duro, Alumínio Lata, Alumínio Mista, Alumínio Panela, Alumínio Perfil, Antimônio, Bateria, Caco vidro, Cobre Misto, Eletrônico, EPS/Isopor, Fio, Fundido, Inox, Inox Ferroso, Mangueira, Metal, Misto/Desmanche eletrônico, Papel, Papel Branco, Papel Cimento, Papel colorido, Papel Misto, Papelão, Parachoque veículo, PEAD branco/leitoso, PEAD caixa, PEAD Colorida, PEAD Garrafinha, PEBD Colorido, PEBD Cristal, PEBD Lona Preta, PET, PET Branca, PET Colorida, PET Cristal, PET Óleo, PET Verde, Plástico filme, PP, PP Balde Bacia Branco, PP Balde Bacia Misto, PP branco, PP colorido, PP Garrafinha, PP Margarina, PP Mineral, PP misto, PP preto, PS, PS copinho, PVC, Ráfia, Sucata Ferro, Sucata metálica, Sucata plástico, Embalagem  longa vida, Vidro</t>
  </si>
  <si>
    <t>Treinamentos sobre triagem e seleção dos materiais, Treinamento sobre notas fiscais, Treinamento sobre Marketing e Comunicação, Treinamento sobre Saúde</t>
  </si>
  <si>
    <t>Pilhas e Baterias, Eletroeletrônicos</t>
  </si>
  <si>
    <t>BOPP - Embalagens plásticas flexíveis e laminadas, Outros</t>
  </si>
  <si>
    <t>Prefeitura, Outra Instituição ou Organização da Sociedade Civil, Responsável Técnico, consultor ou assessoria contratada</t>
  </si>
  <si>
    <t>Coleta Seletiva da Prefeitura, Coleta Seletiva da Associação/ Cooperativa, Doação de Empresas</t>
  </si>
  <si>
    <t>Aterro sanitário outro municipio</t>
  </si>
  <si>
    <t>LAS - 264428</t>
  </si>
  <si>
    <t>Alumínio, Alumínio Duro, Alumínio Lata, Alumínio Mista, Alumínio Panela, Alumínio Perfil, Bateria, Caco vidro, Cobre Misto, Eletrônico, EPS/Isopor, Fio, Fundido, Inox, Inox Ferroso, Metal,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</si>
  <si>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Cadastro/Cartão CNPJ, Alvará de Funcionamento, Certidão negativa de débitos trabalhistas, Comprovante da Conta Bancária, Estatuto Social, Ata de Eleição da Diretoria Atualizada, Licença Ambiental</t>
  </si>
  <si>
    <t>Fornecedor do equipamento</t>
  </si>
  <si>
    <t>Presidente, Vice-Presidente, Secretário (a), Conselho Fiscal</t>
  </si>
  <si>
    <t>Expedição de rejeitos com frequência adequada</t>
  </si>
  <si>
    <t>Alumínio, Alumínio Lata, Alumínio Panela, Caco vidro, Fio, Inox,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Revista, Sucata Ferro, Sucata metálica, Sucata plástico, Embalagem  longa vida, Vidro</t>
  </si>
  <si>
    <t>Diarista</t>
  </si>
  <si>
    <t>Água sanitária, Álcool, Detergente, Sabão em pó, Outro</t>
  </si>
  <si>
    <t>Residências, Outros</t>
  </si>
  <si>
    <t>350759-R1</t>
  </si>
  <si>
    <t>Alumínio, Alumínio Duro, Alumínio Lata, Alumínio Mista, Alumínio Panela, Alumínio Perfil, Caco vidro, Eletrônico, EPS/Isopor, Inox, Inox Ferroso, Metal, Óleo usado, Papel, Papel Branco, Papel Cimento, Papel colorido, Papel Misto, Papelão, Parachoque veículo, PEAD branco/leitoso, PEAD caixa, PEAD Colorida, PEAD Garrafinha, PEBD Colorido, PEBD Cristal, PEBD Lona Preta, PET Bandeja, PET, PET Colorida, PET Óleo, Plástico filme, PP, PP Balde Bacia Branco, PP Balde Bacia Misto, PP branco, PP colorido, PP Garrafinha, PP Margarina, PP Mineral, PP misto, PP preto, PS, PS copinho, PVC, Ráfia, Rejeito, Revista, Sucata Ferro, Sucata metálica, Sucata plástico, Embalagem  longa vida, Vidro, capsulas café</t>
  </si>
  <si>
    <t>Treinamentos sobre triagem e seleção dos materiais, Treinamentos sobre manuseio da prensa, Treinamento sobre legislação, Treinamento sobre notas fiscais</t>
  </si>
  <si>
    <t>Medicamentos e perfurocortantes, Lâmpadas fluorescentes, Eletroeletrônicos, Vestuário</t>
  </si>
  <si>
    <t>Não, somente cooperados/associados, motorista</t>
  </si>
  <si>
    <t>Acompanhamento pela Secretaria Municipal responsável pela parte social, Acompanhamento pela Secretaria Municipal responsável pela Vigilância Ambiental</t>
  </si>
  <si>
    <t xml:space="preserve">Protocolo 20.520.365-6 </t>
  </si>
  <si>
    <t>Alumínio, Alumínio Lata, Alumínio Mista, Alumínio Panela, Alumínio Perfil, Caco vidro, Cobre Misto, Eletrônico, EPS/Isopor, Fio, Inox, Marmitex, Metal, Óleo usado, Papel, Papel Branco, Papel Cimento, Papel colorido, Papel Misto, Papelão, Parachoque veículo, PEAD branco/leitoso, PEAD caixa, PEAD Colorida, PEAD Garrafinha, PEBD Colorido, PEBD Cristal, PEBD Lona Preta, PET, PET Branca, PET Colorida, PET Cristal, PET Óleo, PET Verde, Plástico filme, PP, PP Balde Bacia Branco, PP Balde Bacia Misto, PP branco, PP colorido, PP Garrafinha, PP Margarina, PP Mineral, PP preto, PVC, Ráfia, Rejeito, Revista, Sucata Ferro, Sucata metálica, Sucata plástico, Embalagem  longa vida, Vidro, cápsula de café</t>
  </si>
  <si>
    <t>Treinamento sobre legislação, Treinamento sobre Saúde, Outros</t>
  </si>
  <si>
    <t>Lâmpadas fluorescentes, Eletroeletrônicos, Outros</t>
  </si>
  <si>
    <t>Água sanitária, Detergente, Limpadores multiuso</t>
  </si>
  <si>
    <t>Dedetização periódica, Expedição de rejeitos com frequência adequada, Armadilhas para ratos, Inseticidas, Higienização periódica da infraestrutura</t>
  </si>
  <si>
    <t>350300-R1</t>
  </si>
  <si>
    <t>Alumínio, Alumínio Duro, Alumínio Lata, Alumínio Panela, Alumínio Perfil, Caco vidro, Cobre Misto, Eletrônico, EPS/Isopor, Metal, Papel, Papel Branco, Papel Cimento, Papel colorido, Papel Misto,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Embalagem  longa vida, Vidro, cápsulas de café</t>
  </si>
  <si>
    <t>Treinamento sobre legislação, Treinamento sobre Marketing e Comunicação, Treinamento sobre Saúde, Outros</t>
  </si>
  <si>
    <t>BOPP - Embalagens plásticas flexíveis e laminadas, PETg (Bandeja), Outros</t>
  </si>
  <si>
    <t>Dedetização periódica, Expedição de rejeitos com frequência adequada, Armadilhas para ratos, Higienização periódica da infraestrutura</t>
  </si>
  <si>
    <t>Residências, Comércios, Outros</t>
  </si>
  <si>
    <t>RLAS - 349170</t>
  </si>
  <si>
    <t>Associação Brasileira de Bebidas - ABRABE, Outra</t>
  </si>
  <si>
    <t>Alumínio, Alumínio Lata, Alumínio Panela, Alumínio Perfil, Caco vidro, Cobre Misto, Eletrônico, EPS/Isopor, Inox, Inox Ferroso, Metal, Óleo usado, Papel, Papel Branco, Papel Cimento, Papel Misto, Papelão, Parachoque veículo, PEAD branco/leitoso, PEAD caixa, PEAD Colorida, PEAD Garrafinha, PEBD Colorido, PEBD Cristal, PEBD Lona Preta, PET Bandeja, PET, PET Colorida, PET Cristal, PET Óleo, PET Verde, Plástico filme, PP Balde Bacia Branco, PP Balde Bacia Misto, PP Margarina, PP Tampinha, PS copinho, PVC, Ráfia, Sucata Ferro, Sucata metálica, Embalagem  longa vida, Vidro, CÁPSULAS DE CAFÉ</t>
  </si>
  <si>
    <t>Treinamento sobre legislação, Treinamento sobre MTR, Treinamento sobre Marketing e Comunicação, Treinamento sobre Saúde, Outros</t>
  </si>
  <si>
    <t>Eletroeletrônicos, Outros</t>
  </si>
  <si>
    <t>Água sanitária, Detergente, Desengordurante, Limpadores multiuso</t>
  </si>
  <si>
    <t>327701-R1</t>
  </si>
  <si>
    <t>Alumínio, Alumínio Duro, Alumínio Lata, Alumínio Mista, Alumínio Panela, Alumínio Perfil, Caco vidro, Eletrônico, EPS/Isopor, Inox, Inox Ferroso, Marmitex, Metal, Óleo usado, Papel, Papel Branco, Papel Cimento, Papel colorido, Papel Misto, Papelão, Parachoque veículo, PEAD branco/leitoso, PEAD caixa, PEAD Colorida, PEAD Garrafinha, PEBD Colorido, PEBD Cristal, PEBD Lona Preta, PET, PET Colorida, PET Óleo, PET Verde, Plástico filme, PP, PP Balde Bacia Branco, PP Balde Bacia Misto, PP branco, PP colorido, PP Garrafinha, PP Margarina, PP Mineral, PP misto, PP preto, PS, PS copinho, PVC, Ráfia, Rejeito, Revista, Sucata Ferro, Sucata metálica, Sucata plástico, Embalagem  longa vida, Vidro, capsulas café</t>
  </si>
  <si>
    <t>Treinamento sobre legislação, Treinamento sobre Marketing e Comunicação, Treinamento sobre Saúde</t>
  </si>
  <si>
    <t>Contrato de Prestação de Serviços com o Município, Comprovante de calibração das balanças</t>
  </si>
  <si>
    <t>Água sanitária, Detergente, Sabão em pó, Limpadores multiuso</t>
  </si>
  <si>
    <t>Alumínio, Alumínio Duro, Alumínio Lata, Alumínio Mista, Alumínio Panela, Alumínio Perfil, Caco vidro, Eletrônico, EPS/Isopor, Inox, Inox Ferroso, Marmitex, Metal, Óleo usado, Papel, Papel Branco, Papel Cimento, Papel colorido, Papel Misto, Papelão, Parachoque veículo, PEAD branco/leitoso, PEAD caixa, PEAD Colorida, PEAD Garrafinha, PEBD Colorido, PEBD Cristal, PEBD Lona Preta, PET, PET Colorida, PET Óleo, PET Verde, Plástico filme, PP, PP Balde Bacia Branco, PP Balde Bacia Misto, PP branco, PP colorido, PP Garrafinha, PP Margarina, PP Mineral, PP misto, PP preto, PS, PS copinho, PVC, Ráfia, Revista, Sucata Ferro, Sucata metálica, Sucata plástico, Embalagem  longa vida, Vidro, capsulas café</t>
  </si>
  <si>
    <t>Medicamentos e perfurocortantes, Lâmpadas fluorescentes, Eletroeletrônicos</t>
  </si>
  <si>
    <t>Água sanitária, Álcool, Limpa vidros, Detergente, Sabão em barra, Sabão em pó, Desengordurante, Limpadores multiuso</t>
  </si>
  <si>
    <t>LP-A 337338</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</si>
  <si>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PVC, Ráfia, Reator Motor, Rejeito, Revista, Sucata Ferro, Sucata metálica, Sucata plástico, Embalagem  longa vida, Vidro</t>
  </si>
  <si>
    <t>Treinamentos sobre triagem e seleção dos materiais, Treinamentos sobre manuseio da prensa, Treinamento sobre legislação, Treinamento sobre notas fiscais, Treinamento sobre MTR, Treinamento sobre Marketing e Comunicação, Treinamento sobre Saúde, Outros</t>
  </si>
  <si>
    <t>Pilhas e Baterias, Lâmpadas fluorescentes, Eletroeletrônicos, Vestuário</t>
  </si>
  <si>
    <t>Embalagem cartonada</t>
  </si>
  <si>
    <t>Por meio do município, Por meio de entidades gestoras</t>
  </si>
  <si>
    <t>Possui sistema próprio de gestão - ERP (Enterprise Resource Planning) ou Sistema Integrado de Gestão Empresarial, Possui Planilha de controle</t>
  </si>
  <si>
    <t>Contrato de Prestação de Serviços com o Município, Comprovante de calibração das balanças, Termo de Cooperação Técnica com Entidade Gestora</t>
  </si>
  <si>
    <t>Entidade Gestora, Próprios Cooperados/Associados, Fornecedor do equipamento</t>
  </si>
  <si>
    <t>Coleta Seletiva da Prefeitura, Doação de Empresas, Doação de Pessoas Físicas, Catadores autônomos</t>
  </si>
  <si>
    <t>Indústrias, Área rural, Outros</t>
  </si>
  <si>
    <t>Requerimento 303318</t>
  </si>
  <si>
    <t>Alumínio, Alumínio Lata, Alumínio Panela, Alumínio Perfil, Bateria, Caco vidro, Cobre Misto, Eletrônico, Fio, Inox, Inox Ferroso, Metal, Óleo usado, Papel, Papel Branco, Papel Cimento, Papel colorido, Papel Misto, Papelão, Parachoque veículo, PEAD branco/leitoso, PEAD caixa, PEAD Colorida, PEBD Colorido, PEBD Cristal, PEBD Lona Preta, PET, PET Colorida, PET Cristal, PET Óleo, PET Verde, Plástico filme, PP, PP branco, PP colorido, PP misto, PS copinho, PVC, Ráfia, Sucata Ferro, Sucata metálica, Embalagem  longa vida, Vidro</t>
  </si>
  <si>
    <t>Treinamentos sobre manuseio da prensa, Treinamento sobre legislação, Outros</t>
  </si>
  <si>
    <t>Cadastro/Cartão CNPJ, Alvará de Funcionamento, Inscrição Municipal, Inscrição Estadual, Certidão de Débitos relativos a créditos tributários federais e à dívida ativa da união, Certidão negativa de débitos trabalhistas, Comprovante da Conta Bancária, Estatuto Social, Ata de Eleição da Diretoria Atualizada, Termo ou Auto de Vistoria do Corpo de Bombeiros</t>
  </si>
  <si>
    <t>Outra Instituição ou Organização da Sociedade Civil, Responsável Técnico, consultor ou assessoria contratada</t>
  </si>
  <si>
    <t>Luvas, Avental, Uniforme, Óculos de proteção, Botina</t>
  </si>
  <si>
    <t>Detergente, Sabão em pó</t>
  </si>
  <si>
    <t>Expedição de rejeitos com frequência adequada, Armadilhas para ratos, Higienização periódica da infraestrutura</t>
  </si>
  <si>
    <t>Alumínio, Alumínio Duro, Alumínio Lata, Alumínio Mista, Alumínio Panela, Alumínio Perfil, Caco vidro, Cobre Misto, Eletrônico, Fio, Metal, Misto/Desmanche eletrônico, Papel, Papel Terceira, Papelão, PEBD Lona Preta, PET Branca, PET Colorida, PET Cristal, PET Óleo, PET Verde, Plástico filme, Sucata Ferro, Sucata metálica, Sucata plástico, Embalagem  longa vida, Vidro</t>
  </si>
  <si>
    <t>Lâmpadas fluorescentes, Pneus inservíveis</t>
  </si>
  <si>
    <t>Cadastro/Cartão CNPJ, Certidão de Débitos relativos a créditos tributários federais e à dívida ativa da união, Certidão negativa de débitos trabalhistas, Estatuto Social, Ata de Eleição da Diretoria Atualizada</t>
  </si>
  <si>
    <t>Doação de Empresas, Catadores autônomos</t>
  </si>
  <si>
    <t>Luvas</t>
  </si>
  <si>
    <t>Segunda</t>
  </si>
  <si>
    <t>Expirada</t>
  </si>
  <si>
    <t>Barracão totalmente coberto, Sobre um piso parcialmente impermeabilizado</t>
  </si>
  <si>
    <t>Dentro do barracão no piso, Outra forma</t>
  </si>
  <si>
    <t>Alumínio Duro, Alumínio Lata, Alumínio Mista, Alumínio Panela, Alumínio Perfil, Antimônio, Bateria, BOPP, Caco vidro, Cobre Misto, Eletrônico, Fio, Fundido, Inox Ferroso, Mangueira, Metal, Óleo usado, Papel, Papel Branco, Papel Cimento,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</si>
  <si>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Água sanitária, Limpa vidros, Detergente, Limpadores multiuso</t>
  </si>
  <si>
    <t>20335303-0  Numero do documento 301754</t>
  </si>
  <si>
    <t>Alumínio, Alumínio Lata, Alumínio Mista, Alumínio Panela, BOPP, Caco vidro, EPS/Isopor, Fio, Inox, Inox Ferroso, Mangueira, Metal,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 Bombonas Plástica</t>
  </si>
  <si>
    <t>Treinamentos sobre triagem e seleção dos materiais, Treinamentos sobre manuseio da prensa, Treinamento sobre Marketing e Comunicação</t>
  </si>
  <si>
    <t>BOPP - Embalagens plásticas flexíveis e laminadas</t>
  </si>
  <si>
    <t>Cadastro/Cartão CNPJ, Alvará de Funcionamento, Certidão de Débitos relativos a créditos tributários federais e à dívida ativa da união, Certidão negativa de débitos trabalhistas, Estatuto Social, Ata de Eleição da Diretoria Atualizada, Licença Ambiental</t>
  </si>
  <si>
    <t>Prefeitura, Responsável Técnico, consultor ou assessoria contratada</t>
  </si>
  <si>
    <t>Presidente, Vice-Presidente, Tesoureiro(a), Vice-Tesoureiro(a), Secretário (a), Conselho Fiscal</t>
  </si>
  <si>
    <t>não coleta residuos organicos</t>
  </si>
  <si>
    <t>Somente o rejeito dos reciclados vão pro transbordo</t>
  </si>
  <si>
    <t>Armadilhas para ratos, Inseticidas</t>
  </si>
  <si>
    <t>LAS 312687</t>
  </si>
  <si>
    <t>Alumínio, Alumínio Duro, Alumínio Lata, Alumínio Mista, Alumínio Panela, Alumínio Perfil, Cobre Misto, Marmitex, Metal, Óleo usado, Papel, Papel Branco, Papel Misto, Papelão, Parachoque veículo, PEBD Colorido, PEBD Lona Preta, PET, PET Azul, PET Colorida, PET Cristal, PET Óleo, PET Verde, PP branco, PP colorido, PP Garrafinha, PS copinho, PVC, Ráfia, Sucata Ferro, Sucata metálica, Sucata plástico, Embalagem  longa vida, Vidro</t>
  </si>
  <si>
    <t>543.80</t>
  </si>
  <si>
    <t>Alumínio, Alumínio Lata, Alumínio Panela, Caco vidro, Eletrônico, Fio, Inox, Metal, Papel, Papel Branco, Papel Terceira, Papelão, PEAD branco/leitoso, PEAD caixa, PEAD Colorida, PEAD Garrafinha, PET, PET Azul, PET Branca, PET Colorida, PET Cristal, PET miolo, PET Óleo, PET Verde, PP, Sucata Ferro, Sucata metálica</t>
  </si>
  <si>
    <t>Acompanhamento pela Secretaria Municipal responsável pela Vigilância Ambiental, Acompanhamento pela Secretaria Municipal responsável pelo Meio Ambiente</t>
  </si>
  <si>
    <t>Luvas, Máscara, Avental, Botina</t>
  </si>
  <si>
    <t>ATERRO MUNICIPAL</t>
  </si>
  <si>
    <t>975.74</t>
  </si>
  <si>
    <t>Alumínio, Alumínio Duro, Alumínio Lata, Alumínio Mista, Alumínio Panela, Caco vidro, EPS/Isopor, Mangueira, Marmitex, Metal, Orgânicos, Papel, Papel Branco, Papel Cimento, Papel colorido, Papel Misto, Papel Terceira, Papelão, PEAD branco/leitoso, PEAD caixa, PEAD Colorida, PEAD Garrafinha, PEBD Colorido, PEBD Cristal, PET, PET Azul, PET Branca, PET Colorida, PET Cristal, PET miolo, PET Óleo, PET Verde, Plástico filme, PP, PP Balde Bacia Branco, PP Balde Bacia Misto, PP branco, PP colorido, PP Garrafinha, PP Margarina, PP Mineral, PP misto, PP preto, PP Tampinha, PS, PS copinho, PVC, Rejeito, Revista, Sucata Ferro, Sucata metálica, Sucata plástico, Embalagem  longa vida, Vidro</t>
  </si>
  <si>
    <t>Cadastro/Cartão CNPJ, Inscrição Municipal, Inscrição Estadual, Certidão de Débitos relativos a créditos tributários federais e à dívida ativa da união, Certidão negativa de débitos trabalhistas, Comprovante da Conta Bancária, Estatuto Social, Ata de Eleição da Diretoria Atualizada</t>
  </si>
  <si>
    <t>Possui sistema próprio de gestão - ERP (Enterprise Resource Planning) ou Sistema Integrado de Gestão Empresarial</t>
  </si>
  <si>
    <t>Entidade Gestora</t>
  </si>
  <si>
    <t>458.05</t>
  </si>
  <si>
    <t>Aterro Municipal</t>
  </si>
  <si>
    <t>2 a 3 vezes por semana</t>
  </si>
  <si>
    <t>LAS - 160456</t>
  </si>
  <si>
    <t>Alumínio, Alumínio Lata, Antimônio, Bateria, Caco vidro, Cobre Misto, Eletrônico, EPS/Isopor, Fio, Inox, Mangueira, Marmitex, Metal, Orgânicos, Papel, Papel Branco, Papel Misto, Papel Terceira, Papelão, PEAD branco/leitoso, PEAD caixa, PEAD Colorida, PEAD Garrafinha, PEBD Lona Preta, PET Bandeja, PET, PET Colorida, PET Cristal, PET Óleo, Plástico filme, PP, PP Balde Bacia Branco, PP branco, PP colorido, PS, Ráfia, Rejeito, Sucata Ferro, Embalagem  longa vida, Vidro</t>
  </si>
  <si>
    <t>Treinamentos sobre manuseio da prensa, Treinamento sobre Saúde</t>
  </si>
  <si>
    <t>Programa de Prevenção de Riscos Ambientais - PPRA ou Plano de Gerenciamento de Riscos - PGR</t>
  </si>
  <si>
    <t>Fossa séptica + sumidouro (infiltração no solo), Fossa negra</t>
  </si>
  <si>
    <t>LAS - 321837</t>
  </si>
  <si>
    <t>Pátio sem cobertura, Pátio coberto, Sobre um piso totalmente impermeabilizado</t>
  </si>
  <si>
    <t>Alumínio, Alumínio Lata, Alumínio Panela, BOPP, Cobre Misto, Metal, Papel, Papel Branco, Papel colorido, Papel Misto, Papelão, PEAD branco/leitoso, PEAD Garrafinha, PEBD Colorido, PET Bandeja, PET Azul, PET Branca, PET Colorida, PET Cristal, PET Óleo, PET Verde, Plástico filme, PP Balde Bacia Branco, PP Balde Bacia Misto, PP Tampinha, PS copinho, PVC, Revista, Sucata Ferro, Sucata metálica, Embalagem  longa vida, Vidro</t>
  </si>
  <si>
    <t>Cadastro/Cartão CNPJ, Alvará de Funcionamento, Certidão de Débitos relativos a créditos tributários federais e à dívida ativa da união, Certidão negativa de débitos trabalhistas, Estatuto Social, Ata de Eleição da Diretoria Atualizada, Termo ou Auto de Vistoria do Corpo de Bombeiros, Licença Ambiental</t>
  </si>
  <si>
    <t>Prefeitura, Governo do Paraná, Próprios Cooperados/Associados</t>
  </si>
  <si>
    <t>LAS - 335334</t>
  </si>
  <si>
    <t>Alumínio, Alumínio Duro, Alumínio Lata, Alumínio Mista, Alumínio Panela, Alumínio Perfil, Antimônio, Bateria, Caco vidro, Cobre Misto, Eletrônico, EPS/Isopor, Fio, Fundido, Inox, Inox Ferroso, Metal, Misto/Desmanche eletrônico, Óleo usado, Papel, Papel Branco, Papel Cimento, Papel colorido, Papel Misto, Papel Terceira, Papelão, Parachoque veículo, PEAD caixa, PEAD Colorida, PEAD Garrafinha, PEBD Colorido, PEBD Cristal, PEBD Lona Preta, PET, PET Azul, PET Branca, PET Cristal, PET Óleo, PET Verde, PP, PP Balde Bacia Branco, PP Balde Bacia Misto, PP branco, PP colorido, PP Garrafinha, PP Margarina, PP Mineral, PP misto, PP preto, PP Tampinha, PS, PS copinho, PVC, Ráfia, Reator Motor, Revista, Sucata Ferro, Sucata metálica, Sucata plástico, Embalagem  longa vida, Vidro</t>
  </si>
  <si>
    <t>Treinamentos sobre triagem e seleção dos materiais, Treinamentos sobre manuseio da prensa, Treinamento sobre notas fiscais, Treinamento sobre Saúde, Outros</t>
  </si>
  <si>
    <t>Programa de Prevenção de Riscos Ambientais - PPRA ou Plano de Gerenciamento de Riscos - PGR, Programa de Controle Médico de Saúde Ocupacional - PCMSO</t>
  </si>
  <si>
    <t>Por meio do município, Por meio de outra instituição, ONG ou por projeto/Edital, Por meio de Responsável Técnico contratado</t>
  </si>
  <si>
    <t>Entidade Gestora, Fornecedor do equipamento, Responsável Técnico, consultor ou assessoria contratada</t>
  </si>
  <si>
    <t xml:space="preserve">Transbordo no Aterro Controlado Municipal de Colorado </t>
  </si>
  <si>
    <t>Expedição de rejeitos com frequência adequada, Outro</t>
  </si>
  <si>
    <t>17.404.372-8</t>
  </si>
  <si>
    <t>Treinamentos sobre triagem e seleção dos materiais, Treinamento sobre legislação, Treinamento sobre notas fiscais, Treinamento sobre Saúde, Outros</t>
  </si>
  <si>
    <t>Entidade Gestora, Prefeitura</t>
  </si>
  <si>
    <t>Big-bags, Tambores, Caçamba</t>
  </si>
  <si>
    <t>3 A 4 VEZES POR SEMANA</t>
  </si>
  <si>
    <t>Água sanitária, Álcool, Querosene, Limpa vidros, Detergente, Sabão em barra, Sabão em pó, Desengordurante, Limpadores multiuso</t>
  </si>
  <si>
    <t>faze de preenchimento</t>
  </si>
  <si>
    <t>Alumínio, Alumínio Duro, Alumínio Lata, Alumínio Panela, Alumínio Perfil, BOPP, Caco vidro, Cobre Misto, Eletrônico, Fio, Inox, Inox Ferroso, Metal, Misto/Desmanche eletrônico, Papel, Papel Branco, Papel Cimento, Papel colorido, Papel Misto, Papelão, Parachoque veículo, PEAD branco/leitoso, PEAD caixa, PEAD Colorida, PEAD Garrafinha, PEBD Colorido, PEBD Cristal, PEBD Lona Preta, PET, PET Branca, PET Colorida, PET Cristal, PET Óleo, PET Verde, PP, PP Balde Bacia Branco, PP Balde Bacia Misto, PP branco, PP colorido, PP Margarina, PP preto, PS copinho, PVC, Ráfia, Sucata Ferro, Sucata metálica, Embalagem  longa vida, Vidro</t>
  </si>
  <si>
    <t>Treinamentos sobre triagem e seleção dos materiais, Treinamento sobre Saúde</t>
  </si>
  <si>
    <t>Programa de Controle Médico de Saúde Ocupacional - PCMSO</t>
  </si>
  <si>
    <t>LAS - 206212063</t>
  </si>
  <si>
    <t>Alumínio, Alumínio Lata, Alumínio Mista, BOPP, Caco vidro, Cobre Misto, Eletrônico, Inox Ferroso, Metal, Papel, Papel Branco, Papel Cimento, Papel colorido, Papelão, PET, PET Branca, PET Colorida, PP branco, PP colorido, PP Garrafinha, PP Margarina, PP Mineral, PP misto, PP Tampinha, PVC, Ráfia, Sucata Ferro, Sucata metálica, Sucata plástico, Embalagem  longa vida, Vidro</t>
  </si>
  <si>
    <t>Cadastro/Cartão CNPJ, Alvará de Funcionamento, Comprovante da Conta Bancária, Estatuto Social, Ata de Eleição da Diretoria Atualizada, Licença Ambiental</t>
  </si>
  <si>
    <t>Os materiais triados ficam em área com piso totalmente impermeabilizado</t>
  </si>
  <si>
    <t>LAS 337134</t>
  </si>
  <si>
    <t>Alumínio, Alumínio Duro, Alumínio Lata, Alumínio Mista, Cobre Misto, Fio, Inox, Metal, Papel, Papel Branco, Papel Cimento, Papel colorido, Papel Misto, Papel Terceira, Papelão, PEAD caixa, PEAD Colorida, PEAD Garrafinha, PEBD Colorido, PEBD Cristal, PEBD Lona Preta, PET Bandeja, PET, PET Azul, PET Branca, PET Colorida, PET Cristal, PET miolo, PET Óleo, PET Verde, PP, PP Balde Bacia Misto, PP branco, PP colorido, PP Garrafinha, PP Margarina, PP Mineral, PP misto, PP preto, PP Tampinha, PVC, Ráfia, Sucata Ferro, Sucata metálica, Sucata plástico, Embalagem  longa vida, Vidro</t>
  </si>
  <si>
    <t>Treinamentos sobre triagem e seleção dos materiais, Treinamentos sobre manuseio da prensa, Treinamento sobre MTR, Treinamento sobre Saúde</t>
  </si>
  <si>
    <t>Cadastro/Cartão CNPJ, Alvará de Funcionamento, Inscrição Municipal, Licença Ambiental</t>
  </si>
  <si>
    <t>2x semana</t>
  </si>
  <si>
    <t>Alumínio, Alumínio Lata, Alumínio Panela, Bateria, Caco vidro, Cobre Misto, Eletrônico, EPS/Isopor, Mangueira</t>
  </si>
  <si>
    <t>BOPP - Embalagens plásticas flexíveis e laminadas, PETg (Bandeja), Papel misto ou de terceira</t>
  </si>
  <si>
    <t>Cadastro/Cartão CNPJ</t>
  </si>
  <si>
    <t>n tem banheiro</t>
  </si>
  <si>
    <t>Instituto de Logística Reversa - ILOG, Polen Consultoria e Intermediação de Negócios em Sustentabilidade LTDA</t>
  </si>
  <si>
    <t>Big-bags, Tambores</t>
  </si>
  <si>
    <t>Embalagens de óleo lubrificante, Vestuário</t>
  </si>
  <si>
    <t>Segunda, Quarta, Quinta</t>
  </si>
  <si>
    <t>Água sanitária, Limpadores multiuso</t>
  </si>
  <si>
    <t>Segunda, Quarta, Quinta, Sexta</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</si>
  <si>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metálica, Sucata plástico, Embalagem  longa vida, Vidro</t>
  </si>
  <si>
    <t>Segunda, Terça, Quarta, Sexta</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</si>
  <si>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</si>
  <si>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1, Acima de 5</t>
  </si>
  <si>
    <t>Terça, Quinta, Sexta</t>
  </si>
  <si>
    <t>Quarta, Quinta, Sexta</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</si>
  <si>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</si>
  <si>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25000105 -</t>
  </si>
  <si>
    <t>Barracão parcialmente coberto, Sobre um piso totalmente impermeabilizado</t>
  </si>
  <si>
    <t>Alumínio, Alumínio Duro, Alumínio Lata, Alumínio Mista, Alumínio Panela, Alumínio Perfil, Antimônio, Bateria,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t>
  </si>
  <si>
    <t>Prefeitura, Próprios Cooperados/Associados, Responsável Técnico, consultor ou assessoria contratada</t>
  </si>
  <si>
    <t>Embalagens de óleo lubrificante, Pneus inservíveis, Vestuário</t>
  </si>
  <si>
    <t>Segunda, Terça, Quarta</t>
  </si>
  <si>
    <t>Embalagens de óleo lubrificante, Eletroeletrônicos, Vestuário</t>
  </si>
  <si>
    <t>Cadastro/Cartão CNPJ, Inscrição Municipal, Certidão de Débitos relativos a créditos tributários federais e à dívida ativa da união, Certidão negativa de débitos trabalhistas, Comprovante da Conta Bancária, Estatuto Social, Ata de Eleição da Diretoria Atualizada, Termo ou Auto de Vistoria do Corpo de Bombeiros, Licença Ambiental</t>
  </si>
  <si>
    <t>Embalagens de óleo lubrificante, Eletroeletrônicos, Pneus inservíveis, Vestuário</t>
  </si>
  <si>
    <t>Alumínio, Alumínio Duro, Alumínio Lata, Alumínio Mista, Alumínio Panela, Alumínio Perfil, Antimônio, Bateria,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</si>
  <si>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Cadastro/Cartão CNPJ, Alvará de Funcionamento, Inscrição Estadual, Certidão de Débitos relativos a créditos tributários federais e à dívida ativa da união, Certidão negativa de débitos trabalhistas, Comprovante da Conta Bancária, Estatuto Social, Ata de Eleição da Diretoria Atualizada, Termo ou Auto de Vistoria do Corpo de Bombeiros, Licença Ambiental</t>
  </si>
  <si>
    <t>Barracão totalmente coberto, Barracão parcialmente coberto</t>
  </si>
  <si>
    <t>Alumínio, Alumínio Duro, Alumínio Lata, Alumínio Mista, Alumínio Panela, Alumínio Perfil, Antimônio, Bateria, BOPP, Caco vidro, Cobre Misto, Eletrônico, EPS/Isopor, Fio, Fundido, Inox, Inox Ferroso, Mangueira, Marmitex, Metal, Misto/Desmanche eletrônico,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</si>
  <si>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Alumínio, Alumínio Duro, Alumínio Lata, Alumínio Mista, Alumínio Panela, Alumínio Perfil, Antimônio,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</si>
  <si>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Alumínio, Alumínio Duro, Alumínio Lata, Alumínio Mista, Alumínio Panela, Alumínio Perfil, Bateria, BOPP, Caco vidro, Cobre Misto, Eletrônico, EPS/Isopor, Fio, Fundido, Inox, Inox Ferroso, Mangueira, Marmitex, Metal, Misto/Desmanche eletrônico,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</si>
  <si>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Alumínio, Alumínio Duro, Alumínio Lata, Alumínio Mista, Alumínio Panela, Alumínio Perfil, Antimônio, Bateria, BOPP, Caco vidro, Cobre Misto, Eletrônico, EPS/Isopor, Fio, Fundido, Inox, Inox Ferroso, Mangueira, Marmitex, Metal, Misto/Desmanche eletrônico,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</si>
  <si>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Alumínio, Alumínio Duro, Alumínio Lata, Alumínio Mista, Alumínio Panela, Alumínio Perfil, BOPP, Caco vidro, Cobre Misto, Eletrônico, EPS/Isopor, Fio, Fundido, Inox, Inox Ferroso, Mangueira, Marmitex,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</si>
  <si>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Segunda, Terça, Quinta</t>
  </si>
  <si>
    <t>Polen Consultoria e Intermediação de Negócios em Sustentabilidade LTDA, Outra</t>
  </si>
  <si>
    <t>Alumínio, Alumínio Duro, Alumínio Lata, Alumínio Mista, Alumínio Panela, Alumínio Perfil,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</si>
  <si>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Alumínio, Alumínio Duro, Alumínio Lata, Alumínio Mista, Alumínio Panela, Alumínio Perfil,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</si>
  <si>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Associação Nacional dos Catadores de Materiais Recicláveis – ANCAT, Outra</t>
  </si>
  <si>
    <t>526.35</t>
  </si>
  <si>
    <t>Alumínio, Alumínio Duro, Alumínio Lata, Alumínio Mista, Alumínio Panela, Alumínio Perfil,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Reator Motor, Revista, Sucata Ferro, Sucata metálica, Sucata plástico, Embalagem  longa vida, Vidro</t>
  </si>
  <si>
    <t>Alumínio, Alumínio Duro, Alumínio Lata, Alumínio Mista, Alumínio Panela, Alumínio Perfil,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</si>
  <si>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</si>
  <si>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Programa de Prevenção de Riscos Ambientais - PPRA ou Plano de Gerenciamento de Riscos - PGR, Laudo Técnico das Condições Ambientais de Trabalho - LTCAT</t>
  </si>
  <si>
    <t>Dedetização periódica, Higienização periódica da infraestrutura</t>
  </si>
  <si>
    <t>Alumínio, Alumínio Duro, Alumínio Lata, Alumínio Mista, Alumínio Panela, Alumínio Perfil, Antimônio, Bateria,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</si>
  <si>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Programa de Prevenção de Riscos Ambientais - PPRA ou Plano de Gerenciamento de Riscos - PGR, Outra</t>
  </si>
  <si>
    <t>Terça, Quarta</t>
  </si>
  <si>
    <t>Alumínio, Alumínio Duro, Alumínio Lata, Alumínio Mista, Alumínio Panela, Alumínio Perfil,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</si>
  <si>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Acima de 3 salários mínimos (acima de R$ 4.236,00)</t>
  </si>
  <si>
    <t>Treinamentos sobre triagem e seleção dos materiais, Treinamentos sobre manuseio da prensa, Treinamento sobre MTR</t>
  </si>
  <si>
    <t>Quinta, Sexta</t>
  </si>
  <si>
    <t>Alumínio, Alumínio Duro, Alumínio Lata, Alumínio Mista, Alumínio Panela, Alumínio Perfil, BOPP, Caco vidro, Cobre Misto, EPS/Isopor, Fio, Fundido, Inox, Inox Ferroso, Mangueira, Marmitex,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</si>
  <si>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Alumínio, Alumínio Duro, Alumínio Lata, Alumínio Mista, Alumínio Panela, Alumínio Perfil,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</si>
  <si>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Contrato de Prestação de Serviços com o Município, Termo de Cooperação ou outro com o Município sem repasse de recurso</t>
  </si>
  <si>
    <t>Alumínio, Alumínio Duro, Alumínio Lata, Alumínio Mista, Alumínio Panela, Alumínio Perfil, BOPP, Caco vidro, Cobre Misto, EPS/Isopor, Fio, Fundido, Inox, Inox Ferroso, Mangueira, Marmitex, Metal, Misto/Desmanche eletrônico,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</si>
  <si>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Alumínio, Alumínio Duro, Alumínio Lata, Alumínio Mista, Alumínio Panela, Alumínio Perfil, BOPP, Caco vidro, Cobre Misto, Eletrônico, EPS/Isopor, Fio, Fundido, Inox, Mangueira, Marmitex,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</si>
  <si>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Acompanhamento pela Secretaria Municipal responsável pelo Meio Ambiente, Não há acompanhamento e monitoramento</t>
  </si>
  <si>
    <t>Alumínio, Alumínio Duro, Alumínio Lata, Alumínio Mista, Alumínio Panela, Alumínio Perfil, Antimônio, Bateria,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</si>
  <si>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Alumínio, Alumínio Duro, Alumínio Lata, Alumínio Mista, Alumínio Panela, Alumínio Perfil,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</si>
  <si>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21.166.332-4</t>
  </si>
  <si>
    <t>Instituto de Logística Reversa - ILOG, Associação Nacional dos Catadores de Materiais Recicláveis – ANCAT, Associação Brasileira de Bebidas - ABRABE, Ambipar Environment Residential Colletion</t>
  </si>
  <si>
    <t>Alumínio, Alumínio Duro, Alumínio Lata, Alumínio Mista, Alumínio Panela, Alumínio Perfil, Bateria,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</si>
  <si>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Por meio de entidades gestoras, Por meio de outra instituição, ONG ou por projeto/Edital, Por meio de Responsável Técnico contratado</t>
  </si>
  <si>
    <t>Possui Planilha de controle, Não possui método informatizado</t>
  </si>
  <si>
    <t>Contrato de Prestação de Serviços com o Município, Termo de Cooperação ou outro com o Município com repasse de recurso, Comprovante de calibração das balanças, Termo de Cooperação Técnica com Entidade Gestora</t>
  </si>
  <si>
    <t>Alumínio, Alumínio Duro, Alumínio Lata, Alumínio Mista, Alumínio Panela, Alumínio Perfil, Antimônio, Bateria,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</si>
  <si>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Água sanitária</t>
  </si>
  <si>
    <t>Protocolo 16.613.231-7</t>
  </si>
  <si>
    <t>Pátio sem cobertura, Barracão totalmente coberto, Sobre um piso parcialmente impermeabilizado</t>
  </si>
  <si>
    <t>Alumínio, Alumínio Lata, Alumínio Mista, Alumínio Panela, Cobre Misto, Fio, Fundido, Inox, Metal, Papel, Papel Cimento, Papel colorido, Papel Misto, Papelão, PEAD branco/leitoso, PEAD caixa, PEAD Colorida, PEAD Garrafinha, PEBD Cristal, PEBD Lona Preta, PET, PET Azul, PET Branca, PET Colorida, PET Cristal, PP Balde Bacia Branco, PP Balde Bacia Misto, PVC, Sucata Ferro, Embalagem  longa vida</t>
  </si>
  <si>
    <t>Cadastro/Cartão CNPJ, Alvará de Funcionamento, Inscrição Municipal, Certidão negativa de débitos trabalhistas, Estatuto Social, Ata de Eleição da Diretoria Atualizada, Licença Ambiental</t>
  </si>
  <si>
    <t>Doação de Empresas, Doação de Pessoas Físicas, Catadores autônomos</t>
  </si>
  <si>
    <t>Terça</t>
  </si>
  <si>
    <t>Vedação de frestas e buracos, Inseticidas, Higienização periódica da infraestrutura, Outro</t>
  </si>
  <si>
    <t>LAS 21.854.585-8</t>
  </si>
  <si>
    <t>Alumínio, Alumínio Duro, Alumínio Lata, Alumínio Mista, Alumínio Panela, Alumínio Perfil, Caco vidro, Cobre Misto, Eletrônico, Fio, Inox Ferroso, Mangueira, Misto/Desmanche eletrônico, Óleo usado, Papel, Papel Branco, Papel Cimento, Papel colorido, Papel Misto, Papel Terceira, Papelão, Parachoque veículo, PEAD branco/leitoso, PEAD caixa, PEAD Colorida, PEBD Colorido, PEBD Cristal, PEBD Lona Preta, PET Bandeja, PET, PET Colorida, PET Cristal, PET Óleo, Plástico filme, PP, PP Balde Bacia Branco, PP Balde Bacia Misto, PP branco, PP colorido, PP Margarina, PP misto, PP preto, PP Tampinha, PS copinho, PVC, Ráfia, Sucata Ferro, Sucata metálica, Embalagem  longa vida, Vidro</t>
  </si>
  <si>
    <t>Outra Instituição ou Organização da Sociedade Civil, Próprios Cooperados/Associados</t>
  </si>
  <si>
    <t>Área rural, Outros</t>
  </si>
  <si>
    <t xml:space="preserve">DLAE 182373 </t>
  </si>
  <si>
    <t>Alumínio, Alumínio Duro, Alumínio Lata, Alumínio Mista, Alumínio Panela, Fio, Fundido, Mangueira, Metal, Papel, Papel Branco, Papel Cimento, Papel colorido, Papel Misto, Papel Terceira, Papelão, PEAD branco/leitoso, PEAD caixa, PEAD Colorida, PEAD Garrafinha, PEBD Colorido, PEBD Cristal, PET, PET Azul, PET Branca, PET Colorida, PET Cristal, PET Verde, PP, PP Balde Bacia Branco, PP Balde Bacia Misto, PP branco, PP colorido, PP Garrafinha, PP Margarina, PP Mineral, PP misto, PP preto, PP Tampinha, PS copinho, PVC, Ráfia, Revista, Sucata Ferro, Sucata metálica, Sucata plástico, Embalagem  longa vida, Vidro</t>
  </si>
  <si>
    <t>Big-bags, Outro</t>
  </si>
  <si>
    <t>Cadastro/Cartão CNPJ, Alvará de Funcionamento, Inscrição Municipal, Certidão de Débitos relativos a créditos tributários federais e à dívida ativa da união, Certidão negativa de débitos trabalhistas, Comprovante da Conta Bancária, Estatuto Social, Ata de Eleição da Diretoria Atualizada, Licença Ambiental</t>
  </si>
  <si>
    <t>Armadilhas para ratos, Inseticidas, Outro</t>
  </si>
  <si>
    <t>Residências, Comércios, Área rural</t>
  </si>
  <si>
    <t>LAS 283117</t>
  </si>
  <si>
    <t>Alumínio, Alumínio Duro, Alumínio Lata, Alumínio Mista, Alumínio Panela, Antimônio, BOPP, Caco vidro, Cobre Misto, EPS/Isopor, Fundido, Metal, Papel, Papel Branco, Papel colorido, Papel Misto, Papel Terceira, Papelão, PEAD branco/leitoso, PEAD caixa, PEAD Colorida, PEAD Garrafinha, PEBD Cristal, PET, PET Óleo, Plástico filme, PP Balde Bacia Branco, PP Balde Bacia Misto, PVC, Sucata Ferro, Sucata metálica, Embalagem  longa vida, Vidro</t>
  </si>
  <si>
    <t>Cadastro/Cartão CNPJ, Estatuto Social, Licença Ambiental</t>
  </si>
  <si>
    <t>Acompanhamento pela Secretaria Municipal responsável pela parte social, Acompanhamento pela Secretaria Municipal responsável pelo Meio Ambiente</t>
  </si>
  <si>
    <t>Luvas, Outro</t>
  </si>
  <si>
    <t>Protocolo 18.193.621-5</t>
  </si>
  <si>
    <t>Alumínio, Alumínio Lata, Alumínio Panela, Caco vidro, Cobre Misto, EPS/Isopor, Fio, Inox, Mangueira, Marmitex, Metal, Misto/Desmanche eletrônico, Orgânicos, Papel, Papel Branco, Papel Cimento, Papel colorido, Papel Misto, Papel Terceira, Papelão, PEAD caixa, PEAD Garrafinha, PET, PET Verde, PP Tampinha, PS copinho, PVC, Rejeito, Revista, Sucata Ferro, Sucata metálica, Sucata plástico, Vidro</t>
  </si>
  <si>
    <t>Não é realizada nenhuma capacitação, Treinamentos sobre triagem e seleção dos materiais</t>
  </si>
  <si>
    <t>EPS (Isopor), BOPP - Embalagens plásticas flexíveis e laminadas, Outros</t>
  </si>
  <si>
    <t>Legislação trabalhista de prevenção de doenças e acidentes ocupacionais (exemplo: NR7, NR9, NR15), Programa de Prevenção de Riscos Ambientais - PPRA ou Plano de Gerenciamento de Riscos - PGR, Programa de Controle Médico de Saúde Ocupacional - PCMSO, Laudo Técnico das Condições Ambientais de Trabalho - LTCAT, Implementação da Comissão Interna de Presenção de Acidentes - CIPA</t>
  </si>
  <si>
    <t>Alvará de Funcionamento, Comprovante da Conta Bancária, Termo ou Auto de Vistoria do Corpo de Bombeiros</t>
  </si>
  <si>
    <t>Presidente, Outros membros</t>
  </si>
  <si>
    <t>LAS - 287770</t>
  </si>
  <si>
    <t>Alumínio, Alumínio Lata, Alumínio Panela, Alumínio Perfil, Caco vidro, Cobre Misto, Eletrônico, EPS/Isopor, Fio, Metal, Óleo usado, Papel, Papel Branco, Papel Cimento, Papel colorido, Papel Misto, Papelão, Parachoque veículo, PEAD Colorida, PEBD Colorido, PEBD Cristal, PEBD Lona Preta, PET Bandeja, PET, PET Branca, PET Colorida, PET Cristal, PET Óleo, PET Verde, Plástico filme, PP, PP Balde Bacia Branco, PP Balde Bacia Misto, PP branco, PP colorido, PP Garrafinha, PP Margarina, PP Mineral, PP misto, PP preto, PP Tampinha, PS, PS copinho, PVC, Ráfia, Sucata Ferro, Sucata metálica, Sucata plástico, Embalagem  longa vida, Vidro</t>
  </si>
  <si>
    <t>Pilhas e Baterias, Lâmpadas fluorescentes, Eletroeletrônicos, Pneus inservíveis, Vestuário</t>
  </si>
  <si>
    <t>Presidente, Vice-Presidente, Tesoureiro(a), Conselho Fiscal</t>
  </si>
  <si>
    <t>Doação para a população, associados, Aterro Sanitário</t>
  </si>
  <si>
    <t>LAS- 326209-R2</t>
  </si>
  <si>
    <t>Alumínio, Caco vidro, Cobre Misto, Eletrônico, Fio, Inox, Orgânicos, Papel, Papel Branco, Papel colorido, Papel Misto, Papelão, PEAD branco/leitoso, PEAD caixa, PEAD Colorida, PEAD Garrafinha, PEBD Cristal, PET Bandeja, PET, PET Cristal, Plástico filme, PP, PVC, Ráfia, Rejeito, Sucata Ferro, Embalagem  longa vida, Vidro</t>
  </si>
  <si>
    <t>Treinamentos sobre triagem e seleção dos materiais, Treinamentos sobre manuseio da prensa, Treinamento sobre legislação, Treinamento sobre Saúde</t>
  </si>
  <si>
    <t>BOPP - Embalagens plásticas flexíveis e laminadas, Embalagem cartonada</t>
  </si>
  <si>
    <t>LAS - 174600</t>
  </si>
  <si>
    <t>Alumínio, Alumínio Lata, EPS/Isopor, Marmitex, Metal, Papel, Papel Branco,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Sucata Ferro, Sucata plástico</t>
  </si>
  <si>
    <t>EPS (Isopor), Embalagem cartonada</t>
  </si>
  <si>
    <t>N*271944</t>
  </si>
  <si>
    <t>Alumínio, Alumínio Duro, Alumínio Lata, Alumínio Mista, Alumínio Panela, Alumínio Perfil, Antimônio, Bateria, BOPP, Caco vidro, Cobre Misto, Eletrônico, Fundido, Inox Ferroso, Mangueira, Marmitex, Metal, Misto/Desmanche eletrônico, Óleo usado, Papel, Papel Branco,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</si>
  <si>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BOPP - Embalagens plásticas flexíveis e laminadas, Embalagem cartonada, Outros</t>
  </si>
  <si>
    <t>Governo do Paraná, Outra Instituição ou Organização da Sociedade Civil</t>
  </si>
  <si>
    <t xml:space="preserve">Prefeitura coleta e destino </t>
  </si>
  <si>
    <t>Eletrônico</t>
  </si>
  <si>
    <t>Cadastro/Cartão CNPJ, Ata de Eleição da Diretoria Atualizada</t>
  </si>
  <si>
    <t>LAS - LICENÇA AMBIENTAL SIMPLIFICADA</t>
  </si>
  <si>
    <t>Alumínio, Alumínio Duro, Alumínio Lata, Alumínio Mista, Alumínio Panela, Alumínio Perfil, Antimônio, Bateria, Caco vidro, Cobre Misto, Eletrônico, Fio, Fundido, Inox, Inox Ferroso,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PVC, Ráfia, Reator Motor, Revista, Sucata Ferro, Sucata metálica, Sucata plástico, Embalagem  longa vida, Vidro</t>
  </si>
  <si>
    <t>Pilhas e Baterias, Lâmpadas fluorescentes, Embalagens de óleo lubrificante, Eletroeletrônicos, Pneus inservíveis, Vestuário</t>
  </si>
  <si>
    <t>Fornecedor do equipamento, Responsável Técnico, consultor ou assessoria contratada</t>
  </si>
  <si>
    <t>Presidente, Tesoureiro(a), Conselho Fiscal, Outros membros</t>
  </si>
  <si>
    <t>COLETA</t>
  </si>
  <si>
    <t>Dedetização periódica, Outro</t>
  </si>
  <si>
    <t>Cerâmica</t>
  </si>
  <si>
    <t>LAS - 278646</t>
  </si>
  <si>
    <t>Alumínio, Alumínio Duro, Alumínio Lata, Alumínio Mista, Alumínio Panela, Alumínio Perfil, Antimônio, Bateria, Caco vidro, EPS/Isopor, Fundido, Inox, Marmitex, Metal,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</si>
  <si>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Pilhas e Baterias, Lâmpadas fluorescentes</t>
  </si>
  <si>
    <t>Os materiais triados ficam em área totalmente coberta, Os materiais triados ficam em área com piso totalmente impermeabilizado, Os materiais triados ficam em área com piso parcialmente impermeabilizado</t>
  </si>
  <si>
    <t>Entidade Gestora, Prefeitura, Outra Instituição ou Organização da Sociedade Civil</t>
  </si>
  <si>
    <t>Presidente, Vice-Presidente, Conselho Fiscal, Outros membros</t>
  </si>
  <si>
    <t>Nao realiza</t>
  </si>
  <si>
    <t>LAS 322826</t>
  </si>
  <si>
    <t>Instituto Paranaense de Reciclagem - InPAR, Outra</t>
  </si>
  <si>
    <t>Alumínio, Alumínio Duro, Alumínio Lata, Alumínio Mista, Alumínio Panela, Alumínio Perfil, Bateria, BOPP, Caco vidro, Cobre Misto, Eletrônico, EPS/Isopor, Fio, Fundido, Inox, Inox Ferroso, Metal, Papel, Papel Branco, Papel Cimento, Papel colorido, Papel Misto, Papel Terceira, Papelão, Parachoque veículo, PEAD branco/leitoso, PEAD caixa, PEAD Colorida, PEAD Garrafinha, PEBD Colorido, PEBD Cristal, PEBD Lona Preta, PET, PET Azul, PET Branca, PET Colorida, PET Cristal,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</si>
  <si>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Treinamentos sobre triagem e seleção dos materiais, Treinamentos sobre manuseio da prensa, Treinamento sobre legislação, Treinamento sobre notas fiscais, Outros</t>
  </si>
  <si>
    <t>Pilhas e Baterias, Medicamentos e perfurocortantes, Lâmpadas fluorescentes, Embalagens de óleo lubrificante, Eletroeletrônicos, Vestuário, Outros</t>
  </si>
  <si>
    <t>Sim, cooperados/associados, funcionários CLT e Pessoa Jurídica.</t>
  </si>
  <si>
    <t>526.83</t>
  </si>
  <si>
    <t>Água sanitária, Detergente, Sabão em barra, Sabão em pó, Desengordurante, Limpadores multiuso, Outro</t>
  </si>
  <si>
    <t>Dedetização periódica, Armadilhas para ratos, Higienização periódica da infraestrutura, Outro</t>
  </si>
  <si>
    <t>20.733.598-3</t>
  </si>
  <si>
    <t>Esteira Elétrica, Mesas Separadoras, Chão</t>
  </si>
  <si>
    <t>Alumínio, Alumínio Lata, Bateria, Caco vidro, Cobre Misto, EPS/Isopor, Fio, Inox, Metal, Óleo usado, Papel, Papel Branco, Papel Cimento, Papel Misto, Papel Terceira, Papelão, PEAD branco/leitoso, PEAD Colorida, PEBD Colorido, PEBD Cristal, PEBD Lona Preta, PET, PET Colorida, PET Cristal, PET Óleo, PET Verde, Plástico filme, PP misto, PP preto, PS, PVC, Ráfia, Rejeito, Sucata Ferro, Sucata metálica, Embalagem  longa vida, Vidro</t>
  </si>
  <si>
    <t>Treinamentos sobre manuseio da prensa, Treinamento sobre MTR, Outros</t>
  </si>
  <si>
    <t>Legislação trabalhista de prevenção de doenças e acidentes ocupacionais (exemplo: NR7, NR9, NR15), Laudo Técnico das Condições Ambientais de Trabalho - LTCAT</t>
  </si>
  <si>
    <t>Cadastro/Cartão CNPJ, Alvará de Funcionamento, Inscrição Municipal, Inscrição Estadual, Certidão de Débitos relativos a créditos tributários federais e à dívida ativa da união, Certidão negativa de débitos trabalhistas, Estatuto Social, Ata de Eleição da Diretoria Atualizada, Termo ou Auto de Vistoria do Corpo de Bombeiros, Licença Ambiental</t>
  </si>
  <si>
    <t>Presidente, Tesoureiro(a), Secretário (a), Outros membros</t>
  </si>
  <si>
    <t>Água sanitária, Detergente, Sabão em pó, Desengordurante, Limpadores multiuso, Outro</t>
  </si>
  <si>
    <t>Dedetização periódica, Expedição de rejeitos com frequência adequada, Inseticidas, Higienização periódica da infraestrutura</t>
  </si>
  <si>
    <t>Alumínio, Alumínio Lata, Alumínio Panela, Alumínio Perfil, BOPP, Caco vidro, EPS/Isopor, Fio, Inox, Marmitex, Metal, Papel, Papel Branco, Papel Cimento, Papel colorido, Papel Misto, Papel Terceira, Papelão, PEAD branco/leitoso, PEAD caixa, PEAD Colorida, PEAD Garrafinha, PEBD Colorido, PEBD Cristal, PEBD Lona Preta, PET Bandeja, PET, PET Cristal, PET Óleo, PET Verde, Plástico filme, PP, PP Balde Bacia Branco, PP Balde Bacia Misto, PP branco, PP colorido, PP Garrafinha, PP Margarina, PP Mineral, PP misto, PP preto, PP Tampinha, PS, PS copinho, PVC, Ráfia, Revista, Sucata Ferro, Embalagem  longa vida, Vidro</t>
  </si>
  <si>
    <t>Água sanitária, Álcool, Detergente, Sabão em barra, Sabão em pó, Desengordurante</t>
  </si>
  <si>
    <t>24.117.622-3</t>
  </si>
  <si>
    <t>Alumínio, Alumínio Duro, Alumínio Lata, Alumínio Mista, Alumínio Panela, Alumínio Perfil, Antimônio, Bateria, BOPP, Caco vidro, Cobre Misto, EPS/Isopor, Fio, Fundido, Inox, Inox Ferroso,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</si>
  <si>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Treinamentos sobre triagem e seleção dos materiais, Treinamentos sobre manuseio da prensa, Treinamento sobre legislação, Treinamento sobre notas fiscais, Treinamento sobre Saúde, Outros</t>
  </si>
  <si>
    <t>Cadastro/Cartão CNPJ, Certidão negativa de débitos trabalhistas, Comprovante da Conta Bancária, Estatuto Social</t>
  </si>
  <si>
    <t>Prefeitura, Próprios Cooperados/Associados, Fornecedor do equipamento, Responsável Técnico, consultor ou assessoria contratada</t>
  </si>
  <si>
    <t>Sim, entre 1% e 50%</t>
  </si>
  <si>
    <t>aterro sanitário</t>
  </si>
  <si>
    <t>Água sanitária, Álcool, Limpa vidros, Detergente, Sabão em pó, Desengordurante, Outro</t>
  </si>
  <si>
    <t>Expedição de rejeitos com frequência adequada, Inseticidas, Higienização periódica da infraestrutura</t>
  </si>
  <si>
    <t>21.847.974-0</t>
  </si>
  <si>
    <t>Alumínio, Alumínio Lata, Alumínio Mista, Alumínio Panela, Alumínio Perfil, Bateria, BOPP, Caco vidro, EPS/Isopor, Fundido, Inox, Inox Ferroso, Marmitex, Metal, Óleo usado, Papel, Papel Branco, Papel Cimento, Papel colorido, Papel Misto, Papel Terceira, Papelão, Parachoque veículo, PEAD branco/leitoso, PEAD caixa, PEAD Colorida, PEBD Colorido, PEBD Cristal, PEBD Lona Preta, PET, PET Colorida, PET Cristal, PET Óleo, PET Verde, Plástico filme, PP, PP Balde Bacia Branco, PP Balde Bacia Misto, PP branco, PP colorido, PP Margarina, PP Mineral, PP misto, PP preto, PP Tampinha, PS, PS copinho, PVC, Ráfia, Revista, Sucata Ferro, Sucata plástico, Embalagem  longa vida, Vidro</t>
  </si>
  <si>
    <t>Treinamentos sobre triagem e seleção dos materiais, Treinamentos sobre manuseio da prensa, Treinamento sobre legislação, Treinamento sobre notas fiscais, Treinamento sobre MTR, Treinamento sobre Saúde</t>
  </si>
  <si>
    <t>Tambores, Caçamba</t>
  </si>
  <si>
    <t>Cadastro/Cartão CNPJ, Alvará de Funcionamento, Inscrição Municipal, Inscrição Estadual, Certidão de Débitos relativos a créditos tributários federais e à dívida ativa da união, Certidão negativa de débitos trabalhistas, Estatuto Social, Ata de Eleição da Diretoria Atualizada, Termo ou Auto de Vistoria do Corpo de Bombeiros</t>
  </si>
  <si>
    <t>1, 2</t>
  </si>
  <si>
    <t>5, Acima de 5</t>
  </si>
  <si>
    <t>Os materiais triados ficam em área totalmente coberta, Os materiais triados ficam em área parcialmente coberta, Os materiais triados ficam em área com piso totalmente impermeabilizado, Os materiais triados ficam em área com piso parcialmente impermeabilizado</t>
  </si>
  <si>
    <t>não aceitamos orgânicos</t>
  </si>
  <si>
    <t>Água sanitária, Detergente, Sabão em barra, Sabão em pó, Desengordurante, Limpadores multiuso</t>
  </si>
  <si>
    <t>Vedação de frestas e buracos, Dedetização periódica, Expedição de rejeitos com frequência adequada, Armadilhas para ratos, Higienização periódica da infraestrutura</t>
  </si>
  <si>
    <t>Alumínio Lata, Alumínio Panela, Alumínio Perfil, Antimônio, BOPP, Caco vidro, Cobre Misto, EPS/Isopor, Fio, Fundido, Inox, Inox Ferroso, Marmitex, Metal, Óleo usado, Papel, Papel Branco, Papel Cimento, Papel colorido, Papel Misto, Papel Terceira, Papelão, Parachoque veículo, PEAD branco/leitoso, PEAD caixa, PEAD Colorida, PEAD Garrafinha, PEBD Colorido, PEBD Cristal, PEBD Lona Preta, PET, PET Colorida, PET Cristal, PET Óleo, PET Verde, Plástico filme, PP, PP branco, PP colorido, PP preto, PP Tampinha, PS, PS copinho, PVC, Ráfia, Rejeito, Sucata Ferro, Embalagem  longa vida, Vidro</t>
  </si>
  <si>
    <t xml:space="preserve">Cooperados e prestadores de serviços (técnica administrativa e motorista) </t>
  </si>
  <si>
    <t>Cadastro/Cartão CNPJ, Inscrição Municipal, Inscrição Estadual, Certidão negativa de débitos trabalhistas, Comprovante da Conta Bancária, Estatuto Social, Ata de Eleição da Diretoria Atualizada, Termo ou Auto de Vistoria do Corpo de Bombeiros, Licença Ambiental</t>
  </si>
  <si>
    <t xml:space="preserve">Biodigestor </t>
  </si>
  <si>
    <t xml:space="preserve">Diariamente </t>
  </si>
  <si>
    <t>Água sanitária, Limpa vidros, Detergente, Sabão em barra, Sabão em pó, Limpadores multiuso</t>
  </si>
  <si>
    <t>Alumínio, Alumínio Duro, Alumínio Lata, Alumínio Mista, Alumínio Panela, Alumínio Perfil, Antimônio, Bateria, Caco vidro, Cobre Misto, Eletrônico, EPS/Isopor, Fio, Fundido, Inox, Inox Ferroso, Mangueira,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PP, PP Balde Bacia Branco, PP Balde Bacia Misto, PP branco, PP colorido, PP Garrafinha, PP Margarina, PP Mineral, PP misto, PP preto, PP Tampinha, PS, PS copinho, PVC, Ráfia, Reator Motor, Revista, Sucata Ferro, Sucata metálica, Sucata plástico, Embalagem  longa vida, Vidro</t>
  </si>
  <si>
    <t>Treinamentos sobre triagem e seleção dos materiais, Treinamento sobre notas fiscais</t>
  </si>
  <si>
    <t>LAS 296657</t>
  </si>
  <si>
    <t>Alumínio, Alumínio Lata, Alumínio Mista, Alumínio Panela, Alumínio Perfil, Bateria, Caco vidro, Cobre Misto, Fio, Inox, Inox Ferroso, Metal, Óleo usado, Papel, Papel Branco, Papel Cimento, Papel colorido, Papel Misto, Papelão, Parachoque veículo, PEAD branco/leitoso, PEAD Colorida, PEBD Colorido, PEBD Cristal, PET, PET Azul, PET Colorida, PET Cristal, PET Óleo, PET Verde, PP, PP Balde Bacia Branco, PP Balde Bacia Misto, PP branco, PP colorido, PP misto, PP preto, PS copinho, PVC, Ráfia, Revista, Sucata Ferro, Sucata metálica, Vidro</t>
  </si>
  <si>
    <t>Cadastro/Cartão CNPJ, Alvará de Funcionamento, Inscrição Municipal, Inscrição Estadual, Estatuto Social, Ata de Eleição da Diretoria Atualizada, Termo ou Auto de Vistoria do Corpo de Bombeiros, Licença Ambiental</t>
  </si>
  <si>
    <t>Luvas, Avental, Protetor auricular, Botina</t>
  </si>
  <si>
    <t>Vedação de frestas e buracos, Expedição de rejeitos com frequência adequada</t>
  </si>
  <si>
    <t>Alumínio, Alumínio Lata, Alumínio Panela, Alumínio Perfil, Bateria, Caco vidro, Cobre Misto, Fio, Inox, Inox Ferroso, Metal, Misto/Desmanche eletrônico, Papel, Papel Branco, Papel Cimento, Papel colorido, Papel Misto, Papelão, Parachoque veículo, PEAD branco/leitoso, PEAD Colorida, PEBD Cristal, PEBD Lona Preta, PET, PET Azul, PET Colorida, PET Cristal, PET Óleo, PET Verde, PP, PP Balde Bacia Branco, PP Balde Bacia Misto, PP branco, PP colorido, PP misto, PP preto, PVC, Ráfia, Revista, Sucata Ferro, Sucata metálica, Vidro</t>
  </si>
  <si>
    <t>Cadastro/Cartão CNPJ, Inscrição Municipal, Inscrição Estadual, Certidão negativa de débitos trabalhistas, Comprovante da Conta Bancária, Estatuto Social, Ata de Eleição da Diretoria Atualizada</t>
  </si>
  <si>
    <t>diária</t>
  </si>
  <si>
    <t>Pátio coberto, Sobre um piso parcialmente impermeabilizado</t>
  </si>
  <si>
    <t>Alumínio Duro, Alumínio Lata, Alumínio Mista, Alumínio Panela, Alumínio Perfil, Caco vidro, Fio, Inox Ferroso, Metal, Óleo usado, Papel Branco, Papel colorido, Papel Misto, Papelão, Parachoque veículo, PEAD branco/leitoso, PEBD Colorido, PEBD Cristal, PET, PET Azul, PET Branca, PET Colorida, PET Cristal, PET Óleo, PET Verde, PP Balde Bacia Branco, PP branco, PP colorido, PP preto, PVC, Ráfia, Sucata Ferro, Sucata metálica</t>
  </si>
  <si>
    <t>Cadastro/Cartão CNPJ, Inscrição Municipal, Inscrição Estadual, Certidão negativa de débitos trabalhistas, Estatuto Social, Ata de Eleição da Diretoria Atualizada</t>
  </si>
  <si>
    <t>Luvas, Protetor auricular, Botina</t>
  </si>
  <si>
    <t>23.403.629-7</t>
  </si>
  <si>
    <t>Alumínio, Alumínio Duro, Alumínio Lata, Alumínio Mista, Alumínio Panela, Alumínio Perfil, Caco vidro, Cobre Misto, Eletrônico, EPS/Isopor, Fio, Fundido, Inox, Inox Ferroso, Mangueira, Metal,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Vidro</t>
  </si>
  <si>
    <t>Vestuário</t>
  </si>
  <si>
    <t>EPS (Isopor), BOPP - Embalagens plásticas flexíveis e laminadas, Papel misto ou de terceira</t>
  </si>
  <si>
    <t>Cadastro/Cartão CNPJ, Certidão negativa de débitos trabalhistas, Estatuto Social, Ata de Eleição da Diretoria Atualizada</t>
  </si>
  <si>
    <t>LAS - 207464</t>
  </si>
  <si>
    <t>Alumínio, Alumínio Duro, Alumínio Lata, Alumínio Mista, Alumínio Panela, Alumínio Perfil, Antimônio, Caco vidro, Cobre Misto, Eletrônico, EPS/Isopor, Fio, Marmitex, Metal, Misto/Desmanche eletrônico, Papel, Papel Branco, Papel Cimento, Papel colorido, Papel Misto, Papel Terceira, Papelão, PEAD branco/leitoso, PEAD caixa, PEAD Colorida, PEAD Garrafinha, PEBD Colorido, PEBD Cristal, PEBD Lona Preta, PET Bandeja, PET, PET Azul, PET Branca, PET Colorida, PET Cristal, PET miolo,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</si>
  <si>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Cadastro/Cartão CNPJ, Estatuto Social, Ata de Eleição da Diretoria Atualizada, Licença Ambiental</t>
  </si>
  <si>
    <t>Transbordo Municipal</t>
  </si>
  <si>
    <t>Água sanitária, Limpa vidros</t>
  </si>
  <si>
    <t>LAS 302039</t>
  </si>
  <si>
    <t>Alumínio, Alumínio Duro, Alumínio Lata, Alumínio Perfil, BOPP, Caco vidro, Cobre Misto, Eletrônico, EPS/Isopor, Fio, Inox Ferroso, Mangueira,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</si>
  <si>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Cadastro/Cartão CNPJ, Certidão de Débitos relativos a créditos tributários federais e à dívida ativa da união, Certidão negativa de débitos trabalhistas, Comprovante da Conta Bancária, Ata de Eleição da Diretoria Atualizada, Licença Ambiental</t>
  </si>
  <si>
    <t>Água sanitária, Sabão em pó, Limpadores multiuso</t>
  </si>
  <si>
    <t>PROTOCOLO 24.158.742-8</t>
  </si>
  <si>
    <t>Alumínio, Alumínio Duro, Alumínio Lata, Alumínio Mista, Alumínio Panela, Alumínio Perfil, Caco vidro, Cobre Misto, Eletrônico, EPS/Isopor, Fio, Inox, Mangueira,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</si>
  <si>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Treinamentos sobre manuseio da prensa</t>
  </si>
  <si>
    <t>Programa de Prevenção de Riscos Ambientais - PPRA ou Plano de Gerenciamento de Riscos - PGR, Programa de Controle Médico de Saúde Ocupacional - PCMSO, Implementação da Comissão Interna de Presenção de Acidentes - CIPA</t>
  </si>
  <si>
    <t>Coleta por empresa especializada</t>
  </si>
  <si>
    <t>não posui</t>
  </si>
  <si>
    <t>Alumínio, Alumínio Lata, Alumínio Panela, Caco vidro, Eletrônico, EPS/Isopor, Mangueira, Marmitex, Metal, Papel, Papelão, Parachoque veículo, PET, PP Garrafinha, PP Margarina, PP misto, PP Tampinha, PS copinho, PVC, Sucata Ferro, Sucata plástico, Embalagem  longa vida, Vidro</t>
  </si>
  <si>
    <t>Eletroeletrônicos, Móveis e colchões, Vestuário</t>
  </si>
  <si>
    <t>Cadastro/Cartão CNPJ, Alvará de Funcionamento, Certidão de Débitos relativos a créditos tributários federais e à dívida ativa da união, Certidão negativa de débitos trabalhistas, Comprovante da Conta Bancária, Estatuto Social, Ata de Eleição da Diretoria Atualizada</t>
  </si>
  <si>
    <t>Alumínio, Alumínio Duro, Alumínio Lata, Alumínio Mista, Alumínio Panela, Alumínio Perfil, Bateria, BOPP, Caco vidro, Cobre Misto, Eletrônico, EPS/Isopor, Fio, Inox, Inox Ferroso, Marmitex, Metal, Misto/Desmanche eletrônico,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Reator Motor, Rejeito, Revista, Sucata Ferro, Sucata metálica, Sucata plástico, Embalagem  longa vida, Vidro</t>
  </si>
  <si>
    <t>Polen Consultoria e Intermediação de Negócios em Sustentabilidade LTDA, Associação Brasileira da Indústria de Higiene Pessoal, Perfumaria e Cosméticos – ABIHPEC, Associação Brasileira de Bebidas - ABRABE</t>
  </si>
  <si>
    <t>Alumínio, Alumínio Duro, Alumínio Lata, Alumínio Mista, Alumínio Panela, Alumínio Perfil, Bateria, BOPP, Caco vidro, Cobre Misto, Eletrônico, EPS/Isopor, Fio, Fundido, Inox, Inox Ferroso, Metal, Misto/Desmanche eletrônico, Óleo usado, Papel, Papel Branco, Papel Cimento, Papel Misto, Papelão, Parachoque veículo, PEAD branco/leitoso, PEAD caixa, PEAD Colorida, PEBD Colorido, PEBD Cristal, PEBD Lona Preta, PET, PET Azul, PET Branca, PET Colorida, PET Cristal,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</si>
  <si>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Sim, catadores autônomos externos, Sim, funcionários CLT ou Pessoa Jurídica</t>
  </si>
  <si>
    <t>Entidade Gestora, Próprios Cooperados/Associados, Responsável Técnico, consultor ou assessoria contratada</t>
  </si>
  <si>
    <t>Água sanitária, Álcool, Limpa vidros, Detergente, Sabão em barra, Desengordurante, Limpadores multiuso</t>
  </si>
  <si>
    <t>Pátio coberto, Barracão totalmente coberto</t>
  </si>
  <si>
    <t>Alumínio, Alumínio Duro, Alumínio Lata, Alumínio Mista, Alumínio Panela, Bateria, Caco vidro, Cobre Misto, Eletrônico, Fio, Metal, Papel, Papelão, PEAD Garrafinha, PEBD Lona Preta, PET, PET Azul, PET Branca, PET Colorida, PET Cristal, Plástico filme, PP Margarina, PVC, Sucata Ferro, Sucata plástico, Embalagem  longa vida</t>
  </si>
  <si>
    <t>Os materiais triados ficam em área totalmente coberta, Os materiais triados ficam em área parcialmente coberta</t>
  </si>
  <si>
    <t>Luvas, Máscara, Avental, Óculos de proteção, Botina</t>
  </si>
  <si>
    <t>Água sanitária, Álcool, Sabão em barra, Sabão em pó</t>
  </si>
  <si>
    <t>LAS - 304960 - Proitocolo: 20.303.207-2</t>
  </si>
  <si>
    <t>Alumínio, Alumínio Duro, Alumínio Lata, Alumínio Mista, Alumínio Panela, Alumínio Perfil, Bateria,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</si>
  <si>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Móveis e colchões, Vestuário, Outros</t>
  </si>
  <si>
    <t>EPS (Isopor), BOPP - Embalagens plásticas flexíveis e laminadas, Embalagem cartonada, Papel misto ou de terceira, Outros</t>
  </si>
  <si>
    <t>Presidente, Vice-Presidente, Tesoureiro(a), Secretário (a), Vice-Secretário (a), Conselho Fiscal</t>
  </si>
  <si>
    <t>2 vezes na seman</t>
  </si>
  <si>
    <t>Água sanitária, Sabão em pó, Desengordurante</t>
  </si>
  <si>
    <t>LAS - 253176 - Protocolo: 18019858-0</t>
  </si>
  <si>
    <t>Treinamentos sobre triagem e seleção dos materiais, Treinamentos sobre manuseio da prensa, Treinamento sobre legislação, Treinamento sobre notas fiscais, Treinamento sobre Saúde</t>
  </si>
  <si>
    <t>Termo de Cooperação ou outro com o Município com repasse de recurso, Termo de Cooperação ou outro com o Município sem repasse de recurso</t>
  </si>
  <si>
    <t>Governo do Paraná, Próprios Cooperados/Associados</t>
  </si>
  <si>
    <t>Presidente, Vice-Presidente, Tesoureiro(a), Secretário (a), Conselho Fiscal, Outros membros</t>
  </si>
  <si>
    <t>Coleta Seletiva da Associação/ Cooperativa, Doação de Pessoas Físicas</t>
  </si>
  <si>
    <t>Sexta</t>
  </si>
  <si>
    <t>Água sanitária, Sabão em pó, Outro</t>
  </si>
  <si>
    <t>Concreto, Chão batido</t>
  </si>
  <si>
    <t xml:space="preserve">Fossa séptica + sumidouro (infiltração no solo), </t>
  </si>
  <si>
    <t>228066-R2</t>
  </si>
  <si>
    <t>Alumínio, Alumínio Duro, Alumínio Lata, Alumínio Mista, Caco vidro, Inox, Metal, Papel, Papel Branco, Papel Cimento,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Embalagem  longa vida, Vidro</t>
  </si>
  <si>
    <t>0, 5</t>
  </si>
  <si>
    <t>Água sanitária, Detergente, Outro</t>
  </si>
  <si>
    <t>LAS - 186885</t>
  </si>
  <si>
    <t>Alumínio, Alumínio Lata, Alumínio Mista, Alumínio Panela, Caco vidro, Cobre Misto, Eletrônico, Metal, Misto/Desmanche eletrônico, Papel Branco, Papel Cimento, Papel colorido, Papel Misto, Papelão, Parachoque veículo, PEAD branco/leitoso, PEAD caixa, PEAD Colorida, PEBD Cristal, PEBD Lona Preta, PET Bandeja, PET, PET Branca, PET Colorida, PET Cristal, PET Óleo, PET Verde, Plástico filme, PP Balde Bacia Branco, PP Balde Bacia Misto, PP branco, PP colorido, PP Margarina, PP preto, PVC, Revista, Sucata Ferro, Sucata plástico, Embalagem  longa vida, Vidro</t>
  </si>
  <si>
    <t>Acompanhamento pela Secretaria Municipal responsável pela Vigilância Ambiental</t>
  </si>
  <si>
    <t>ATERRO</t>
  </si>
  <si>
    <t>Inseticidas, Higienização periódica da infraestrutura</t>
  </si>
  <si>
    <t>Protocolo 22.761.229-0 Documento 349080</t>
  </si>
  <si>
    <t>Embalagens de óleo lubrificante, Vestuário, Outros</t>
  </si>
  <si>
    <t>Higienização periódica da infraestrutura, Outro</t>
  </si>
  <si>
    <t>LO - 19.825.678-1</t>
  </si>
  <si>
    <t>Alumínio, Alumínio Duro, Alumínio Lata, Alumínio Mista, Alumínio Panela, Alumínio Perfil, Antimônio, Bateria, BOPP, Caco vidro, Cobre Misto, Eletrônico, EPS/Isopor, Fio, Fundido, Inox, Inox Ferroso, Metal, Misto/Desmanche eletrônico, Papel, Papel Branco, Papel Cimento, Papel colorido, Papel Misto, Papel Terceira, Papelão, Parachoque veículo, PEAD branco/leitoso, PEAD caixa, PEAD Colorida, PEAD Garrafinha, PEBD Colorido, PEBD Cristal, PEBD Lona Preta, PET Bandeja, PET, PET Colorida, PET Cristal, PET miolo, PET Óleo, PET Verde, Plástico filme, PP, PP Balde Bacia Branco, PP Balde Bacia Misto, PP branco, PP colorido, PP Garrafinha, PP Margarina, PP Mineral, PP misto, PP preto, PP Tampinha, PS copinho, PVC, Ráfia, Reator Motor, Revista, Sucata Ferro, Sucata metálica, Embalagem  longa vida, Vidro</t>
  </si>
  <si>
    <t>Entidade Gestora, Prefeitura, Responsável Técnico, consultor ou assessoria contratada</t>
  </si>
  <si>
    <t>PROTOCOLO</t>
  </si>
  <si>
    <t>Alumínio, Alumínio Panela, Caco vidro, Cobre Misto, EPS/Isopor, Fio, Fundido, Inox, Inox Ferroso, Mangueira, Marmitex, Metal, Papel, Papel Branco, Papel Cimento, Papel colorido, Papel Misto, Papel Terceira, Papelão, PEAD branco/leitoso, PEAD caixa, PEAD Colorida, PEAD Garrafinha, PEBD Colorido, PEBD Cristal, PEBD Lona Preta, PET Bandeja, PET, PET Azul, PET Branca, PET Colorida, PET Cristal, PET miolo, PET Verde, Plástico filme, PP Balde Bacia Branco, PP Balde Bacia Misto, PP branco, PP colorido, PP Garrafinha, PP Margarina, PP Mineral, PP misto, PP preto, PP Tampinha, PS copinho, PVC, Revista, Sucata Ferro, Sucata metálica, Sucata plástico, Embalagem  longa vida, Vidro</t>
  </si>
  <si>
    <t>Treinamentos sobre triagem e seleção dos materiais, Treinamentos sobre manuseio da prensa, Treinamento sobre notas fiscais, Treinamento sobre Marketing e Comunicação, Treinamento sobre Saúde</t>
  </si>
  <si>
    <t>Não, somente cooperados/associados, CONTADOR</t>
  </si>
  <si>
    <t>Cadastro/Cartão CNPJ, Alvará de Funcionamento, Inscrição Municipal, Certidão negativa de débitos trabalhistas, Comprovante da Conta Bancária, Estatuto Social, Ata de Eleição da Diretoria Atualizada</t>
  </si>
  <si>
    <t>Alumínio Lata, Papel, Papelão, PET, Sucata Ferro, Sucata metálica, Sucata plástico</t>
  </si>
  <si>
    <t>Cadastro/Cartão CNPJ, Inscrição Municipal, Inscrição Estadual, Certidão negativa de débitos trabalhistas, Comprovante da Conta Bancária, Estatuto Social, Ata de Eleição da Diretoria Atualizada, Licença Ambiental</t>
  </si>
  <si>
    <t>Água sanitária, Detergente, Desengordurante</t>
  </si>
  <si>
    <t>Renovação LAS - 336355</t>
  </si>
  <si>
    <t>Alumínio, Alumínio Lata, Alumínio Mista, Alumínio Panela, Alumínio Perfil, Antimônio, Bateria, BOPP, Caco vidro, Cobre Misto, Eletrônico, EPS/Isopor, Fio, Fundido, Inox, Inox Ferroso, Metal, Misto/Desmanche eletrônico,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</si>
  <si>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Treinamento sobre Marketing e Comunicação, Treinamento sobre Saúde</t>
  </si>
  <si>
    <t>Cadastro/Cartão CNPJ, Alvará de Funcionamento, Estatuto Social, Ata de Eleição da Diretoria Atualizada, Licença Ambiental</t>
  </si>
  <si>
    <t xml:space="preserve">realizamos a doação dos residuos do triturador de galhos </t>
  </si>
  <si>
    <t xml:space="preserve">3 vezes na semana </t>
  </si>
  <si>
    <t>Vedação de frestas e buracos, Expedição de rejeitos com frequência adequada, Armadilhas para ratos, Higienização periódica da infraestrutura</t>
  </si>
  <si>
    <t>Alumínio, Alumínio Duro, Alumínio Lata, Alumínio Mista, Alumínio Panela, Alumínio Perfil, Cobre Misto, EPS/Isopor, Fio, Fundido, Inox, Inox Ferroso, Mangueira, Marmitex, Metal, Papel, Papel Branco, Papel Cimento, Papel colorido, Papel Misto,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</si>
  <si>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Coleta por empresa especializada, Fossa Séptica</t>
  </si>
  <si>
    <t>LAS 326145</t>
  </si>
  <si>
    <t>Alumínio, Alumínio Duro, Alumínio Lata, Alumínio Mista, Alumínio Panela, Alumínio Perfil, Caco vidro, Cobre Misto, EPS/Isopor, Fio, Inox, Inox Ferroso, Mangueira, Marmitex, Metal, Papel, Papel Branco, Papel Cimento, Papel colorido, Papel Misto,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Revista, Sucata Ferro, Sucata metálica, Sucata plástico, Embalagem  longa vida, Vidro</t>
  </si>
  <si>
    <t>Contratados por dia</t>
  </si>
  <si>
    <t>Cadastro/Cartão CNPJ, Alvará de Funcionamento, Inscrição Municipal, Inscrição Estadual, Estatuto Social, Ata de Eleição da Diretoria Atualizada, Licença Ambiental</t>
  </si>
  <si>
    <t xml:space="preserve">Fossa séptica + sumidouro (infiltração no solo), Fossa séptica </t>
  </si>
  <si>
    <t>LAS - 286189</t>
  </si>
  <si>
    <t>Alumínio, Alumínio Panela, Eletrônico, Metal, Papel, Papel Branco, Papel Cimento, Papel colorido, Papel Misto, Papel Terceira, Papelão, PEAD caixa, PEAD Colorida, PEAD Garrafinha, PEBD Colorido, PEBD Cristal, PEBD Lona Preta, PET Bandeja, PET, PET Azul, PET Branca, PET Colorida, PET Cristal, PET miolo, PET Óleo, PET Verde, PP, PP Balde Bacia Branco, PP Balde Bacia Misto, PP branco, PP colorido, PP Garrafinha, PP Margarina, PP Mineral, PP misto, PP preto, PP Tampinha, PS copinho, PVC, Ráfia, Revista, Sucata Ferro, Embalagem  longa vida, Vidro</t>
  </si>
  <si>
    <t>Detergente, Outro</t>
  </si>
  <si>
    <t>Protocolo 22.732.583-6</t>
  </si>
  <si>
    <t>Pragma Soluções Serviços e Projetos LTDA</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</si>
  <si>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 Resíduos Texteis</t>
  </si>
  <si>
    <t>Treinamentos sobre triagem e seleção dos materiais, Outros</t>
  </si>
  <si>
    <t>Pilhas e Baterias, Medicamentos e perfurocortantes, Lâmpadas fluorescentes, Eletroeletrônicos, Móveis e colchões</t>
  </si>
  <si>
    <t>Água sanitária, Álcool, Detergente, Sabão em pó, Desengordurante, Limpadores multiuso</t>
  </si>
  <si>
    <t>Vedação de frestas e buracos, Dedetização periódica, Expedição de rejeitos com frequência adequada, Higienização periódica da infraestrutura</t>
  </si>
  <si>
    <t>Bacia de Evapotranpiração-Bet</t>
  </si>
  <si>
    <t>Licença de Operação 322190</t>
  </si>
  <si>
    <t>Alumínio Lata, Caco vidro, Metal, Papel, Papelão, PET, PP Garrafinha, PP preto, PP Tampinha, PS copinho, PVC, Rejeito, Embalagem  longa vida, Vidro</t>
  </si>
  <si>
    <t>Luvas, Máscara, Avental, Uniforme, Botina</t>
  </si>
  <si>
    <t>LAS – 294504 (vigente)</t>
  </si>
  <si>
    <t>Alumínio, Alumínio Duro, Alumínio Lata, Alumínio Mista, Alumínio Panela, Alumínio Perfil, Antimônio, Bateria,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</si>
  <si>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Alvará de Funcionamento, Certidão negativa de débitos trabalhistas, Comprovante da Conta Bancária, Ata de Eleição da Diretoria Atualizada</t>
  </si>
  <si>
    <t>LAS - 306842</t>
  </si>
  <si>
    <t>Alumínio, Alumínio Lata, Alumínio Panela, Alumínio Perfil, Antimônio, Bateria, Caco vidro, Cobre Misto, Eletrônico, EPS/Isopor, Mangueira, Metal, Misto/Desmanche eletrônico, Papel Branco, Papel Cimento, Papel Misto, Papelão, PEAD branco/leitoso, PEAD Colorida, PEBD Colorido, PEBD Cristal, PEBD Lona Preta, PET Azul, PET Colorida, PET Cristal, PET Óleo, PET Verde, PP branco, PP colorido, PS, PVC, Ráfia, Reator Motor, Sucata Ferro, Embalagem  longa vida, Vidro</t>
  </si>
  <si>
    <t>Trabalhadores por dia</t>
  </si>
  <si>
    <t>Presidente, Tesoureiro(a), Secretário (a), Conselho Fiscal, Outros membros</t>
  </si>
  <si>
    <t>654.1</t>
  </si>
  <si>
    <t>A prefeitura coleta apenas de grandes geradores como escolas, restaurantes, mercados e hortifrutis, conforme demanda</t>
  </si>
  <si>
    <t>Dedetização periódica, Expedição de rejeitos com frequência adequada, Armadilhas para ratos, Inseticidas</t>
  </si>
  <si>
    <t>16.154.323-3</t>
  </si>
  <si>
    <t>Alumínio, Alumínio Duro, Alumínio Lata, Alumínio Mista, Alumínio Panela, Alumínio Perfil, Antimônio, Caco vidro, Cobre Misto, Fio, Fundido, Inox, Inox Ferroso,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Revista, Sucata Ferro, Sucata metálica, Sucata plástico, Embalagem  longa vida, Vidro</t>
  </si>
  <si>
    <t>Licença Ambiental</t>
  </si>
  <si>
    <t>0, 2</t>
  </si>
  <si>
    <t>LAS - 187596</t>
  </si>
  <si>
    <t xml:space="preserve">Alumínio, Alumínio Lata, Alumínio Panela, Alumínio Perfil, Caco vidro, Cobre Misto, Fio, Metal, Papel, Papel Branco, Papel colorido, Papel Misto, Papelão, PEAD branco/leitoso, PEAD caixa, PEAD Colorida, PEAD Garrafinha, PEBD Cristal, PET, PET Colorida, PET Cristal, PET Óleo, PET Verde, PP, PP Balde Bacia Branco, PP Balde Bacia Misto, PP Garrafinha, PP Margarina, PP misto, Sucata Ferro, Sucata metálica, Sucata plástico, Vidro, </t>
  </si>
  <si>
    <t>Cadastro/Cartão CNPJ, Certidão de Débitos relativos a créditos tributários federais e à dívida ativa da união, Certidão negativa de débitos trabalhistas, Comprovante da Conta Bancária, Estatuto Social, Ata de Eleição da Diretoria Atualizada, Licença Ambiental</t>
  </si>
  <si>
    <t>Coleta Seletiva da Prefeitura, Doação de Pessoas Físicas</t>
  </si>
  <si>
    <t>Alumínio, Alumínio Lata, Eletrônico, Metal, Misto/Desmanche eletrônico, Papel Branco, Papel colorido, Papel Misto, Papelão, PEAD caixa, PET Branca, PET Colorida, PP, PP Mineral, PP Tampinha, PVC, Vidro</t>
  </si>
  <si>
    <t>Cadastro/Cartão CNPJ, Inscrição Municipal, Certidão negativa de débitos trabalhistas, Comprovante da Conta Bancária, Licença Ambiental</t>
  </si>
  <si>
    <t>LAS - PROT 21188079-1</t>
  </si>
  <si>
    <t>Alumínio, Alumínio Lata, Alumínio Panela, Alumínio Perfil, Bateria, Caco vidro, Cobre Misto, Eletrônico, EPS/Isopor, Fio, Fundido, Inox, Inox Ferroso, Metal, Misto/Desmanche eletrônico, Óleo usado, Papel, Papel Branco, Papel Cimento, Papel colorido, Papel Misto, Papel Terceira, Papelão, PEAD branco/leitoso, PEAD caixa, PEAD Colorida, PEAD Garrafinha, PEBD Colorido, PET Bandeja, PET, PET Branca, PET Cristal, PET Verde, PP, PP Balde Bacia Branco, PP Balde Bacia Misto, PP branco, PP colorido, PP preto, PS, PS copinho, PVC, Ráfia, Rejeito, Revista, Sucata Ferro, Embalagem  longa vida, Vidro</t>
  </si>
  <si>
    <t>Pilhas e Baterias, Lâmpadas fluorescentes, Eletroeletrônicos, Pneus inservíveis</t>
  </si>
  <si>
    <t>3 x semana</t>
  </si>
  <si>
    <t>Água sanitária, Detergente, Sabão em barra</t>
  </si>
  <si>
    <t>LAS - 300494</t>
  </si>
  <si>
    <t>Alumínio, Alumínio Lata, Alumínio Panela, Caco vidro, Cobre Misto, Eletrônico, Fundido, Inox, Inox Ferroso, Mangueira, Metal, Óleo usado, Papel, Papel Branco, Papel colorido, Papel Misto, Papelão, Parachoque veículo, PEAD caixa, PEAD Colorida, PEBD Colorido, PEBD Cristal, PEBD Lona Preta, PET Bandeja, PET, PET Azul, PET Branca, PET Colorida, PET Cristal, PET Óleo, PET Verde, Plástico filme, PP, PP Balde Bacia Branco, PP Balde Bacia Misto, PP branco, PP colorido, PS, PS copinho, PVC, Ráfia, Rejeito, Sucata Ferro, Sucata metálica, Embalagem  longa vida, Vidro</t>
  </si>
  <si>
    <t>Treinamentos sobre triagem e seleção dos materiais, Treinamento sobre legislação, Treinamento sobre Marketing e Comunicação, Treinamento sobre Saúde</t>
  </si>
  <si>
    <t>Cadastro/Cartão CNPJ, Alvará de Funcionamento, Comprovante da Conta Bancária, Estatuto Social, Ata de Eleição da Diretoria Atualizada, Termo ou Auto de Vistoria do Corpo de Bombeiros, Licença Ambiental</t>
  </si>
  <si>
    <t>Prefeitura, Outra Instituição ou Organização da Sociedade Civil, Próprios Cooperados/Associados, Responsável Técnico, consultor ou assessoria contratada</t>
  </si>
  <si>
    <t>Presidente, Vice-Presidente, Tesoureiro(a), Secretário (a), Vice-Secretário (a)</t>
  </si>
  <si>
    <t>Município ainda não possui compostagem</t>
  </si>
  <si>
    <t>Álcool, Detergente, Sabão em pó, Limpadores multiuso</t>
  </si>
  <si>
    <t>Vedação de frestas e buracos, Dedetização periódica, Armadilhas para ratos, Inseticidas, Higienização periódica da infraestrutura</t>
  </si>
  <si>
    <t xml:space="preserve">Fossa séptica com limpeza mensal </t>
  </si>
  <si>
    <t>LAS 23703189-0</t>
  </si>
  <si>
    <t>Pátio coberto, Barracão totalmente coberto, Sobre um piso sem impermeabilização</t>
  </si>
  <si>
    <t>Alumínio, Alumínio Duro, Alumínio Lata, Alumínio Panela, Alumínio Perfil, BOPP, Caco vidro, Inox, Inox Ferroso,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</si>
  <si>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Doação para a população, associados, Doação para a prefeitura usar em jardins e arborização</t>
  </si>
  <si>
    <t>Esteira Elétrica, Chão</t>
  </si>
  <si>
    <t>Alumínio, Alumínio Duro, Alumínio Lata, Alumínio Mista, Alumínio Panela, BOPP, Caco vidro, Metal, Papel, Papel Branco, Papel Cimento, Papel colorido, Papel Misto, Papel Terceira, Papelão, PET, PET Azul, PET Branca, PET Colorida, PET Cristal, PET miolo, PET Óleo, PET Verde, PP, Embalagem  longa vida, Vidro</t>
  </si>
  <si>
    <t>1 FUNCIONÁRIO CEDIDO PELO MUNICÍPIO</t>
  </si>
  <si>
    <t>LICENÇA DE OPERAÇÃO - 225571</t>
  </si>
  <si>
    <t>Ambipar Environment Residential Colletion</t>
  </si>
  <si>
    <t>Alumínio, Alumínio Lata, Alumínio Mista, Bateria, Caco vidro, Cobre Misto, Eletrônico, EPS/Isopor, Marmitex, Metal, Papel Branco, Papel colorido, Papel Misto,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Ráfia, Revista, Sucata Ferro, Sucata metálica, Sucata plástico, Embalagem  longa vida, Vidro</t>
  </si>
  <si>
    <t>Comércios, Indústrias</t>
  </si>
  <si>
    <t>LAS - 266825</t>
  </si>
  <si>
    <t>Alumínio, Alumínio Duro, Alumínio Lata, Alumínio Mista, Alumínio Panela, Alumínio Perfil, Bateria, BOPP, Caco vidro, Eletrônico, Fio, Metal,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PVC, Ráfia, Rejeito, Revista, Sucata Ferro, Sucata metálica, Sucata plástico, Embalagem  longa vida, Vidro</t>
  </si>
  <si>
    <t>EPS (Isopor), PETg (Bandeja), Embalagem cartonada, Outros</t>
  </si>
  <si>
    <t>Coleta Seletiva da Associação/ Cooperativa, Catadores autônomos</t>
  </si>
  <si>
    <t>8h/ dia, Abixo de 8h/dia</t>
  </si>
  <si>
    <t>destinção para aterro sanitário</t>
  </si>
  <si>
    <t>16.808.902-3</t>
  </si>
  <si>
    <t>Alumínio, Alumínio Duro, Alumínio Lata, Alumínio Panela, Eletrônico, EPS/Isopor, Fio, Inox, Mangueira, Marmitex, Metal, Orgânicos, Papel, Papel colorido, Papelão, PET Bandeja, PET, Plástico filme, Sucata plástico, Embalagem  longa vida, Vidro</t>
  </si>
  <si>
    <t>Pilhas e Baterias, Embalagens de óleo lubrificante, Eletroeletrônicos, Pneus inservíveis</t>
  </si>
  <si>
    <t>Cadastro/Cartão CNPJ, Alvará de Funcionamento, Comprovante da Conta Bancária, Ata de Eleição da Diretoria Atualizada, Licença Ambiental</t>
  </si>
  <si>
    <t>Luvas, Avental, Protetor auricular, Óculos de proteção, Botina</t>
  </si>
  <si>
    <t>Álcool, Detergente, Sabão em pó</t>
  </si>
  <si>
    <t>Armadilhas para ratos, Outro</t>
  </si>
  <si>
    <t>Alumínio, Alumínio Lata, Caco vidro, Metal, Papel, Papel Branco, Papelão, Rejeito, Sucata plástico</t>
  </si>
  <si>
    <t>Termo de Cooperação Técnica com Entidade Gestora</t>
  </si>
  <si>
    <t>Vedação de frestas e buracos, Dedetização periódica</t>
  </si>
  <si>
    <t>LAS 002003 - PROTOCOLO 121803577</t>
  </si>
  <si>
    <t>Alumínio, Alumínio Duro, Alumínio Lata, Alumínio Mista, Alumínio Panela, Alumínio Perfil, Antimônio, Bateria, Caco vidro, Cobre Misto, Eletrônico, EPS/Isopor, Fio, Fundido, Inox, Mangueira,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</si>
  <si>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Pilhas e Baterias, Lâmpadas fluorescentes, Pneus inservíveis</t>
  </si>
  <si>
    <t>Não, somente cooperados/associados, Sim, voluntários</t>
  </si>
  <si>
    <t>LO nº 286724</t>
  </si>
  <si>
    <t>Alumínio, Alumínio Duro, Alumínio Lata, Alumínio Mista, Alumínio Panela, Alumínio Perfil, Antimônio, Caco vidro, Cobre Misto,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PP, PP Balde Bacia Branco, PP Balde Bacia Misto, PP branco, PP colorido, PP Garrafinha, PP Margarina, PP Mineral, PP misto, PP preto, PP Tampinha, PS, PS copinho, PVC, Ráfia, Reator Motor, Revista, Sucata Ferro, Sucata metálica, Sucata plástico, Embalagem  longa vida, Vidro</t>
  </si>
  <si>
    <t>diaristas, em período de experiência.</t>
  </si>
  <si>
    <t>Programa de Prevenção de Riscos Ambientais - PPRA ou Plano de Gerenciamento de Riscos - PGR, Programa de Controle Médico de Saúde Ocupacional - PCMSO, Outra</t>
  </si>
  <si>
    <t>Cadastro/Cartão CNPJ, Alvará de Funcionamento, Certidão de Débitos relativos a créditos tributários federais e à dívida ativa da união, Comprovante da Conta Bancária, Estatuto Social, Ata de Eleição da Diretoria Atualizada, Termo ou Auto de Vistoria do Corpo de Bombeiros, Licença Ambiental</t>
  </si>
  <si>
    <t>Dedetização periódica, Expedição de rejeitos com frequência adequada, Inseticidas</t>
  </si>
  <si>
    <t>Alumínio, Alumínio Duro, Alumínio Lata, Alumínio Mista, Alumínio Panela, Alumínio Perfil, Antimônio, Caco vidro, Cobre Misto, EPS/Isopor, Inox, Inox Ferroso, Marmitex, Metal, Papel, Papel Branco, Papel colorido, Papel Misto,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Garrafinha, PP Margarina, PS, PS copinho, PVC, Ráfia, Revista, Sucata Ferro, Sucata metálica, Embalagem  longa vida, Vidro</t>
  </si>
  <si>
    <t>Treinamentos sobre triagem e seleção dos materiais, Treinamentos sobre manuseio da prensa, Outros</t>
  </si>
  <si>
    <t>Cadastro/Cartão CNPJ, Comprovante da Conta Bancária, Estatuto Social, Ata de Eleição da Diretoria Atualizada</t>
  </si>
  <si>
    <t>ATERRO SANITARIO PRIVADO CUSTEADO PELA PREFEITURA</t>
  </si>
  <si>
    <t>CONFORME O VOLUME ACUMULADO</t>
  </si>
  <si>
    <t>124.8</t>
  </si>
  <si>
    <t>Alumínio, Alumínio Lata, Alumínio Mista, Alumínio Panela, Alumínio Perfil, BOPP, Caco vidro, Cobre Misto, Eletrônico, EPS/Isopor, Fio, Inox, Metal, Papel, Papel Branco, Papel Cimento, Papel colorido, Papel Misto, Papelão, Parachoque veículo, PEAD branco/leitoso, PEAD caixa, PEAD Colorida, PET, PET Branca, PET Cristal, PP, PS, PVC, Ráfia, Rejeito, Sucata metálica, Embalagem  longa vida, Vidro</t>
  </si>
  <si>
    <t>14.5</t>
  </si>
  <si>
    <t>9.5</t>
  </si>
  <si>
    <t>0.5</t>
  </si>
  <si>
    <t>Cadastro/Cartão CNPJ, Alvará de Funcionamento, Certidão de Débitos relativos a créditos tributários federais e à dívida ativa da união, Comprovante da Conta Bancária, Estatuto Social, Ata de Eleição da Diretoria Atualizada, Licença Ambiental</t>
  </si>
  <si>
    <t>LAS 328717</t>
  </si>
  <si>
    <t>Alumínio, Caco vidro, Metal, Papel, Papelão, PET, Ráfia, Vidro</t>
  </si>
  <si>
    <t>Entidade Gestora, Prefeitura, Próprios Cooperados/Associados, Responsável Técnico, consultor ou assessoria contratada</t>
  </si>
  <si>
    <t>N HA</t>
  </si>
  <si>
    <t>Comércios, Área rural</t>
  </si>
  <si>
    <t>Las 328717</t>
  </si>
  <si>
    <t>Alumínio, Alumínio Lata, Caco vidro, Papel, Papelão, PET, Vidro</t>
  </si>
  <si>
    <t>diaristas</t>
  </si>
  <si>
    <t>Certificado de dispensa de licenciamento ambiental estadual</t>
  </si>
  <si>
    <t>Alumínio Lata, Marmitex, Papel, Papel Branco, Papel colorido, Papel Misto, Papelão, PEAD branco/leitoso, PEAD caixa, PEAD Garrafinha, PET, PET Azul, PET Branca, PET Colorida, PET Cristal, PET miolo, PET Óleo, PET Verde, Plástico filme, Revista, Embalagem  longa vida, Vidro</t>
  </si>
  <si>
    <t>nao e realizado a coleta de organico</t>
  </si>
  <si>
    <t>nao realizamos colea residuos organicos</t>
  </si>
  <si>
    <t>fossa septica</t>
  </si>
  <si>
    <t>Licença Ambiental Simplificado nº 243805-R1</t>
  </si>
  <si>
    <t>Alumínio, Alumínio Duro, Alumínio Lata, Alumínio Mista, Alumínio Panela, Alumínio Perfil, Antimônio, Bateria, BOPP, Caco vidro, Cobre Misto, EPS/Isopor, Fio, Inox, Inox Ferroso, Metal, Óleo usado, Papel, Papel Branco, Papel Cimento, Papel colorido, Papel Misto, Papel Terceira, Papelão, PEAD branco/leitoso, PEAD caixa, PEAD Colorida, PEAD Garrafinha, PEBD Colorido, PEBD Cristal, PEBD Lona Preta, PET, PET Azul, PET Branca, PET Colorida, PET Óleo, PET Verde, PP, PP Balde Bacia Branco, PP Balde Bacia Misto, PP branco, PP colorido, PP Garrafinha, PP Margarina, PP misto, PP Tampinha, Revista, Sucata Ferro, Embalagem  longa vida, Vidro</t>
  </si>
  <si>
    <t>Não, somente cooperados/associados, Motorista Caminhão Alugado</t>
  </si>
  <si>
    <t>1/1/0001</t>
  </si>
  <si>
    <t xml:space="preserve">Alumínio, Alumínio Mista, Alumínio Panela, Alumínio Perfil, Antimônio, Bateria, BOPP, Caco vidro, Cobre Misto, Eletrônico, Fio, Fundido, Inox, Inox Ferroso, Mangueira,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PP, PP Balde Bacia Branco, PP Balde Bacia Misto, PP branco, PP colorido, PP Garrafinha, PP Margarina, PP Mineral, PP misto, PP preto, PP Tampinha, PS, PVC, Ráfia, Reator Motor, Revista, Sucata Ferro, Sucata metálica, Sucata plástico, Embalagem  longa vida, Vidro, </t>
  </si>
  <si>
    <t>Água sanitária, Álcool, Detergente, Sabão em barra, Sabão em pó, Outro</t>
  </si>
  <si>
    <t>Dedetização periódica, Higienização periódica da infraestrutura, Outro</t>
  </si>
  <si>
    <t>LAS - 157/2023 SEI - 10644531 - Processo 19023.040921/2023</t>
  </si>
  <si>
    <t>Instituto de Logística Reversa - ILOG, Associação Brasileira da Indústria de Higiene Pessoal, Perfumaria e Cosméticos – ABIHPEC, Associação Nacional dos Catadores de Materiais Recicláveis – ANCAT, Associação Brasileira de Bebidas - ABRABE, Ambipar Environment Residential Colletion, Outra</t>
  </si>
  <si>
    <t>Alumínio, Alumínio Lata, Alumínio Panela, Alumínio Perfil, Antimônio, Caco vidro, Cobre Misto, EPS/Isopor, Inox, Inox Ferroso, Mangueira, Marmitex, Metal, Papel, Papel Branco, Papel colorido, Papel Misto, Papel Terceira, Papelão, PEAD branco/leitoso, PEAD Colorida, PEAD Garrafinha, PEBD Colorido, PEBD Cristal, PEBD Lona Preta, PET, PET Azul, PET Branca, PET Cristal, PET Óleo, PET Verde, PP, PP Balde Bacia Branco, PP Balde Bacia Misto, PP branco, PP colorido, PP Garrafinha, PP Margarina, PP misto, PP Tampinha, PS, PS copinho, PVC, Rejeito, Revista, Sucata Ferro, Sucata metálica, Sucata plástico, Embalagem  longa vida, Vidro</t>
  </si>
  <si>
    <t>Acompanhamento pelas Entidades Gestoras de Logística Reversa</t>
  </si>
  <si>
    <t>Água sanitária, Álcool, Detergente, Sabão em barra, Sabão em pó, Limpadores multiuso, Outro</t>
  </si>
  <si>
    <t>Licença Ambiental Simplificada 255138</t>
  </si>
  <si>
    <t>Alumínio, Alumínio Lata, Alumínio Panela, Alumínio Perfil, Antimônio, Bateria, BOPP, Caco vidro, Cobre Misto, Eletrônico, EPS/Isopor, Inox, Metal, Misto/Desmanche eletrônico, Óleo usado, Papel, Papel Branco, Papel Cimento, Papel colorido, Papel Misto, Papel Terceira, Papelão, PEAD branco/leitoso, PEAD caixa, PEAD Colorida, PEAD Garrafinha, PET Bandeja, PET, PET Óleo, PET Verde, PP Balde Bacia Branco, PP Balde Bacia Misto, PP branco, PP colorido, PP Garrafinha, PP Margarina, PP Mineral, PP misto, PP preto, PP Tampinha, PS copinho, PVC, Ráfia, Reator Motor, Revista, Sucata Ferro, Sucata metálica, Sucata plástico, Embalagem  longa vida, Vidro</t>
  </si>
  <si>
    <t>Pilhas e Baterias, Embalagens de óleo lubrificante, Outros</t>
  </si>
  <si>
    <t>148/2024</t>
  </si>
  <si>
    <t>Alumínio, Alumínio Duro, Alumínio Lata, Alumínio Mista, Alumínio Panela, Alumínio Perfil, Antimônio, Bateria, BOPP, Caco vidro, Cobre Misto, Eletrônico, Fio, Fundido, Inox, Inox Ferroso, Mangueira,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</si>
  <si>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Doação de Pessoas Físicas</t>
  </si>
  <si>
    <t>Acompanhamento pela Secretaria Municipal responsável pela parte social, Acompanhamento pela Secretaria Municipal responsável pelo Meio Ambiente, Acompanhamento pelas Entidades Gestoras de Logística Reversa</t>
  </si>
  <si>
    <t>LAS 9872817</t>
  </si>
  <si>
    <t>Alumínio, Alumínio Duro, Alumínio Lata, Alumínio Mista, Alumínio Panela, Alumínio Perfil, Antimônio,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</si>
  <si>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Prefeitura, Próprios Cooperados/Associados, Fornecedor do equipamento</t>
  </si>
  <si>
    <t>Vedação de frestas e buracos, Dedetização periódica, Armadilhas para ratos, Higienização periódica da infraestrutura</t>
  </si>
  <si>
    <t>LAS nº 109/2025</t>
  </si>
  <si>
    <t>Instituto de Logística Reversa - ILOG, Associação Brasileira da Indústria de Higiene Pessoal, Perfumaria e Cosméticos – ABIHPEC, Outra</t>
  </si>
  <si>
    <t>Alumínio, Alumínio Lata, Alumínio Mista, Alumínio Panela, Alumínio Perfil, Bateria, BOPP, Caco vidro, Cobre Misto, Eletrônico, EPS/Isopor, Fio, Fundido, Inox, Inox Ferroso, Mangueira, Metal, Óleo usado, Papel, Papel Branco, Papel Cimento, Papel colorido, Papel Misto, Papel Terceira, Papelão, PEAD branco/leitoso, PEAD caixa, PEAD Colorida, PEAD Garrafinha, PEBD Colorido, PEBD Cristal, PEBD Lona Preta, PET Bandeja, PET, PET Azul, PET Branca, PET Colorida, PET Cristal, PET Óleo, PET Verde, Plástico filme, PP, PP Balde Bacia Branco, PP Balde Bacia Misto, PP colorido, PP Garrafinha, PP misto, PS, PS copinho, PVC, Ráfia, Revista, Sucata Ferro, Sucata metálica, Sucata plástico, Embalagem  longa vida, Vidro</t>
  </si>
  <si>
    <t>Embalagens de óleo lubrificante, Outros</t>
  </si>
  <si>
    <t>Sim,presos do regime fechado e semi aberto que compõem um projeto interno da Cooperativa e oportunizar trabalho a esses, quais procuram por oportunidade e ressocialização</t>
  </si>
  <si>
    <t>Água sanitária, Sabão em pó, Limpadores multiuso, Outro</t>
  </si>
  <si>
    <t>Comércios, Indústrias, Outros</t>
  </si>
  <si>
    <t>las 174039</t>
  </si>
  <si>
    <t>Alumínio, Alumínio Duro, Alumínio Lata, Alumínio Mista, Alumínio Panela, Alumínio Perfil, BOPP, Caco vidro, Cobre Misto, Eletrônico, Fio, Inox, Mangueira,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misto, PP preto, PP Tampinha, PS, PS copinho, PVC, Ráfia, Rejeito, Revista, Sucata Ferro, Sucata metálica, Sucata plástico, Embalagem  longa vida, Vidro</t>
  </si>
  <si>
    <t>Cadastro/Cartão CNPJ, Comprovante da Conta Bancária, Estatuto Social, Ata de Eleição da Diretoria Atualizada, Licença Ambiental</t>
  </si>
  <si>
    <t>Alumínio, Caco vidro, Cobre Misto, Metal, Papel, Papel Branco, Papel colorido, Papel Misto, Papelão, PEAD branco/leitoso, PEAD caixa, PEAD Colorida, PEAD Garrafinha, PEBD Colorido, PEBD Cristal, PET, PET Azul, PET Branca, PET Colorida, PET Cristal, Plástico filme, PP branco, PP colorido, PP Garrafinha, PP Mineral, PVC, Sucata Ferro, Sucata metálica</t>
  </si>
  <si>
    <t>Cadastro/Cartão CNPJ, Alvará de Funcionamento, Inscrição Municipal, Estatuto Social, Ata de Eleição da Diretoria Atualizada</t>
  </si>
  <si>
    <t>LAS  - 306251</t>
  </si>
  <si>
    <t>Alumínio, Alumínio Duro, Alumínio Lata, Alumínio Mista, Alumínio Panela, BOPP, Caco vidro, Cobre Misto, Fio, Inox, Inox Ferroso, Mangueira, Metal, Papel, Papel Branco, Papel Cimento,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</si>
  <si>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Cadastro/Cartão CNPJ, Alvará de Funcionamento, Inscrição Municipal, Certidão negativa de débitos trabalhistas, Comprovante da Conta Bancária, Estatuto Social, Ata de Eleição da Diretoria Atualizada, Termo ou Auto de Vistoria do Corpo de Bombeiros</t>
  </si>
  <si>
    <t>Prefeitura, Fornecedor do equipamento</t>
  </si>
  <si>
    <t>Coleta Seletiva da Prefeitura, Doação de Empresas, Catadores autônomos</t>
  </si>
  <si>
    <t>Água sanitária, Álcool, Detergente, Sabão em pó, Limpadores multiuso</t>
  </si>
  <si>
    <t>Comércios, Indústrias, Área rural</t>
  </si>
  <si>
    <t>LAS - 306251</t>
  </si>
  <si>
    <t>Alumínio, Alumínio Duro, Alumínio Lata, Alumínio Mista, Alumínio Panela, Caco vidro, Cobre Misto, Eletrônico, Fio, Inox, Inox Ferroso, Mangueira, Metal, Papel, Papel Branco, Papel Cimento,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</si>
  <si>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Cadastro/Cartão CNPJ, Alvará de Funcionamento, Certidão negativa de débitos trabalhistas, Comprovante da Conta Bancária, Estatuto Social, Ata de Eleição da Diretoria Atualizada, Termo ou Auto de Vistoria do Corpo de Bombeiros, Licença Ambiental</t>
  </si>
  <si>
    <t>LAS Nº 306251</t>
  </si>
  <si>
    <t>Alumínio, Alumínio Lata, Alumínio Mista, Alumínio Panela, BOPP, Caco vidro, Cobre Misto, Fio, Inox, Mangueira, Metal, Papel, Papel Branco, Papel Cimento, Papel colorido, Papel Misto, Papelão,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Tampinha, PS, PS copinho, PVC, Ráfia, Rejeito, Revista, Sucata Ferro, Sucata metálica, Embalagem  longa vida, Vidro</t>
  </si>
  <si>
    <t>Lâmpadas fluorescentes, Eletroeletrônicos</t>
  </si>
  <si>
    <t>Prefeitura, Governo do Paraná, Responsável Técnico, consultor ou assessoria contratada</t>
  </si>
  <si>
    <t>Protocolo 22.637.215-6</t>
  </si>
  <si>
    <t>Alumínio, Alumínio Duro, Alumínio Lata, Alumínio Mista, Alumínio Panela, Alumínio Perfil, Antimônio, Bateria, Caco vidro, Cobre Misto, Eletrônico,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</si>
  <si>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Não, somente cooperados/associados, Sim, catadores autônomos externos</t>
  </si>
  <si>
    <t>Água sanitária, Álcool, Detergente, Sabão em pó</t>
  </si>
  <si>
    <t>LAs179114216</t>
  </si>
  <si>
    <t>Alumínio, Alumínio Lata, Alumínio Panela, Alumínio Perfil, Bateria, Caco vidro, Cobre Misto, Eletrônico, EPS/Isopor, Mangueira, Metal, Misto/Desmanche eletrônico, Papel, Papel Branco, Papel Cimento, Papel colorido, Papel Misto, Papelão, Parachoque veículo, PEAD Colorida, PEAD Garrafinha, PET, PET Azul, PET Branca, PET Colorida, PET Cristal, PET Óleo, PET Verde, PP Balde Bacia Branco, PP Balde Bacia Misto, PP Garrafinha, PP Margarina, PP Mineral, PP misto, PS copinho, PVC, Ráfia, Revista, Sucata Ferro, Embalagem  longa vida, Vidro</t>
  </si>
  <si>
    <t>Dedetização periódica, Armadilhas para ratos, Inseticidas</t>
  </si>
  <si>
    <t>Em trâmite</t>
  </si>
  <si>
    <t xml:space="preserve">Alumínio, Alumínio Duro, Alumínio Lata, Alumínio Mista, Alumínio Panela, Alumínio Perfil, Bateria, BOPP, Caco vidro, Cobre Misto, Eletrônico, EPS/Isopor, Fio, Fundido, Inox, Metal, Misto/Desmanche eletrônico, Orgânicos, Papel Branco, Papel Cimento, Papel Misto, Papelão, Parachoque veículo, PEAD branco/leitoso, PEAD caixa, PEAD Garrafinha, PEBD Colorido, PEBD Cristal, PEBD Lona Preta, PET, PET Colorida, PET Cristal, PET Óleo, PET Verde, PP Balde Bacia Misto, PS, PS copinho, PVC, Ráfia, Rejeito, Sucata Ferro, Sucata metálica, Embalagem  longa vida, Vidro, </t>
  </si>
  <si>
    <t>EPS (Isopor), BOPP - Embalagens plásticas flexíveis e laminadas, PETg (Bandeja), Embalagem cartonada, Papel misto ou de terceira, Outros</t>
  </si>
  <si>
    <t>Tem um escritório de Contabilidade contratado.</t>
  </si>
  <si>
    <t>Cadastro/Cartão CNPJ, Alvará de Funcionamento, Inscrição Estadual, Certidão de Débitos relativos a créditos tributários federais e à dívida ativa da união, Certidão negativa de débitos trabalhistas, Comprovante da Conta Bancária, Estatuto Social, Ata de Eleição da Diretoria Atualizada</t>
  </si>
  <si>
    <t>Venda para empresa privada, Venda para a Prefeitura.</t>
  </si>
  <si>
    <t>Sob demanda de comercialização</t>
  </si>
  <si>
    <t>Sabão em pó, Limpadores multiuso</t>
  </si>
  <si>
    <t>Alumínio, Alumínio Duro, Alumínio Lata, Alumínio Mista, Alumínio Panela, Alumínio Perfil, Caco vidro, Cobre Misto, Metal, Papel, Papel Branco, Papel Cimento, Papel colorido, Papel Misto, Papel Terceira, Papelão, Parachoque veículo, PEAD branco/leitoso, PEAD caixa, PEAD Colorida, PEAD Garrafinha, PEBD Cristal, PET, PET Azul, PET Branca, PET Colorida, PET Cristal, PET Óleo, PET Verde, PP Balde Bacia Branco, PP Balde Bacia Misto, PP branco, PP colorido, PP Garrafinha, PP Margarina, PP Mineral, PP misto, PP preto, PP Tampinha, Ráfia, Revista, Sucata Ferro, Sucata metálica, Sucata plástico, Embalagem  longa vida, Vidro</t>
  </si>
  <si>
    <t>Não é feita compostagem</t>
  </si>
  <si>
    <t>Detergente, Limpadores multiuso</t>
  </si>
  <si>
    <t>LAS 305243</t>
  </si>
  <si>
    <t>Alumínio, Alumínio Lata, Papel, Papel Branco, Papel Cimento, Papel colorido, Papel Misto, Papelão, PEAD caixa, PET, Plástico filme, Sucata plástico, Embalagem  longa vida</t>
  </si>
  <si>
    <t>Cadastro/Cartão CNPJ, Licença Ambiental</t>
  </si>
  <si>
    <t>Luvas, Máscara</t>
  </si>
  <si>
    <t>16/2023</t>
  </si>
  <si>
    <t>Alumínio, Alumínio Duro, Alumínio Lata, Alumínio Mista, Alumínio Panela, Alumínio Perfil, Antimônio, Bateria,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</si>
  <si>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Pilhas e Baterias, Embalagens de óleo lubrificante, Eletroeletrônicos</t>
  </si>
  <si>
    <t>Legislação trabalhista de prevenção de doenças e acidentes ocupacionais (exemplo: NR7, NR9, NR15), Programa de Prevenção de Riscos Ambientais - PPRA ou Plano de Gerenciamento de Riscos - PGR, Programa de Controle Médico de Saúde Ocupacional - PCMSO, Implementação da Comissão Interna de Presenção de Acidentes - CIPA</t>
  </si>
  <si>
    <t>Associação Brasileira da Indústria de Higiene Pessoal, Perfumaria e Cosméticos – ABIHPEC, Associação Nacional dos Catadores de Materiais Recicláveis – ANCAT</t>
  </si>
  <si>
    <t>Alumínio, Alumínio Duro, Alumínio Lata, Alumínio Mista, Alumínio Panela, Alumínio Perfil, Antimônio, Bateria, Caco vidro, Cobre Misto, Eletrônico, Fio, Fundido, Inox, Inox Ferroso, Mangueira, Metal, Misto/Desmanche eletrônico, Óleo usado, Papel, Papel Branco, Papel Cimento, Papel colorido, Papel Misto, Papel Terceira, Papelão, PEAD branco/leitoso, PEAD caixa, PEAD Colorida, PEAD Garrafinha, PEBD Colorido, PEBD Cristal, PEBD Lona Preta, PET, PET Azul, PET Branca, PET Colorida, PET Cristal, PET miolo, PET Óleo, PET Verde, PP, PP Balde Bacia Branco, PP Balde Bacia Misto, PP Garrafinha, PS, PS copinho, PVC, Ráfia, Reator Motor, Revista, Sucata Ferro, Sucata metálica, Sucata plástico, Embalagem  longa vida, Vidro</t>
  </si>
  <si>
    <t>Cadastro/Cartão CNPJ, Inscrição Municipal, Inscrição Estadual, Certidão de Débitos relativos a créditos tributários federais e à dívida ativa da união, Certidão negativa de débitos trabalhistas, Comprovante da Conta Bancária, Estatuto Social, Ata de Eleição da Diretoria Atualizada, Licença Ambiental</t>
  </si>
  <si>
    <t>27/2023</t>
  </si>
  <si>
    <t>Associação Brasileira da Indústria de Higiene Pessoal, Perfumaria e Cosméticos – ABIHPEC, Outra</t>
  </si>
  <si>
    <t>Alumínio, Alumínio Duro, Alumínio Lata, Alumínio Mista, Alumínio Panela, Alumínio Perfil, Antimônio, Bateria, BOPP, Caco vidro, Cobre Misto, Eletrônico,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Óleo, PET Verde, Plástico filme, PP, PP Balde Bacia Branco, PP Balde Bacia Misto, PP branco, PP colorido, PP Garrafinha, PP Margarina, PP Mineral, PP misto, PP preto, PP Tampinha, PS, PS copinho, PVC, Reator Motor, Revista, Sucata Ferro, Sucata metálica, Embalagem  longa vida, Vidro</t>
  </si>
  <si>
    <t>Laudo Técnico das Condições Ambientais de Trabalho - LTCAT, Implementação da Comissão Interna de Presenção de Acidentes - CIPA</t>
  </si>
  <si>
    <t>12/2021</t>
  </si>
  <si>
    <t>Pátio coberto, Sobre um piso totalmente impermeabilizado</t>
  </si>
  <si>
    <t>Alumínio, Alumínio Duro, Alumínio Lata, Alumínio Mista, Alumínio Panela, Alumínio Perfil, Antimônio, Bateria, BOPP, Caco vidro, Cobre Misto, Eletrônico, EPS/Isopor,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Óleo, PET Verde, Plástico filme, PP, PP Balde Bacia Branco, PP Balde Bacia Misto, PP branco, PP colorido, PP Garrafinha, PP Margarina, PP Mineral, PP misto, PP preto, PP Tampinha, PS, PS copinho, PVC, Reator Motor, Revista, Sucata Ferro, Sucata metálica, Sucata plástico, Embalagem  longa vida, Vidro</t>
  </si>
  <si>
    <t>LAS - 315355-R1</t>
  </si>
  <si>
    <t>967.80</t>
  </si>
  <si>
    <t>Alumínio, Alumínio Lata, Alumínio Panela, Antimônio, Cobre Misto, Inox Ferroso, Metal, Papel, Papel Branco, Papel Misto, Papelão, PEAD Garrafinha, PET, PET Óleo, PP Balde Bacia Branco, PP Garrafinha, PS copinho, Ráfia, Revista, Sucata metálica, Embalagem  longa vida, Vidro</t>
  </si>
  <si>
    <t>515.40</t>
  </si>
  <si>
    <t xml:space="preserve">LAS - 311074 </t>
  </si>
  <si>
    <t>Alumínio, Alumínio Duro, Alumínio Lata, Alumínio Mista, Alumínio Panela, Alumínio Perfil, Antimônio, Bateria, Caco vidro, Cobre Misto, Eletrônico, EPS/Isopor, Fio, Fundido, Inox, Marmitex, Metal, Óleo usado, Papel, Papel Branco, Papel Cimento, Papel colorido, Papel Misto, Papelão, Parachoque veículo, PEAD branco/leitoso, PEAD caixa, PEAD Colorida, PEAD Garrafinha, PEBD Colorido, PEBD Cristal, PEBD Lona Preta, PET, PET Branca, PET Colorida, PET Cristal, PET Óleo, PET Verde, Plástico filme, PP, PP Balde Bacia Branco, PP Balde Bacia Misto, PP branco, PP colorido, PP Garrafinha, PP Margarina, PP Mineral, PP misto, PP preto, PP Tampinha, PS, PS copinho, PVC, Ráfia, Sucata Ferro, Sucata metálica, Embalagem  longa vida, Vidro</t>
  </si>
  <si>
    <t>Treinamento sobre legislação, Treinamento sobre MTR, Treinamento sobre Saúde</t>
  </si>
  <si>
    <t>Cadastro/Cartão CNPJ, Alvará de Funcionamento, Inscrição Municipal, Certidão negativa de débitos trabalhistas, Comprovante da Conta Bancária, Estatuto Social, Ata de Eleição da Diretoria Atualizada, Termo ou Auto de Vistoria do Corpo de Bombeiros, Licença Ambiental</t>
  </si>
  <si>
    <t>Alumínio, Alumínio Lata, Alumínio Mista, EPS/Isopor, Misto/Desmanche eletrônico, Óleo usado, Papel, Papelão, PET, PP misto, PP Tampinha, Sucata Ferro, Sucata metálica, Sucata plástico, Embalagem  longa vida</t>
  </si>
  <si>
    <t>licença de operação 22.116.527-6</t>
  </si>
  <si>
    <t>Alumínio, Alumínio Duro, Alumínio Lata, Alumínio Mista, Alumínio Panela, Caco vidro, EPS/Isopor, Fio, Mangueira, Marmitex, Metal, Papel, Papel Branco, Papel Cimento,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copinho, PVC, Ráfia, Rejeito, Revista, Sucata Ferro, Sucata metálica, Sucata plástico, Embalagem  longa vida, Vidro</t>
  </si>
  <si>
    <t>Cadastro/Cartão CNPJ, Alvará de Funcionamento, Estatuto Social, Licença Ambiental</t>
  </si>
  <si>
    <t>Luvas, Máscara, Uniforme, Botina</t>
  </si>
  <si>
    <t>vala</t>
  </si>
  <si>
    <t>Alumínio, Alumínio Lata, Alumínio Panela, Papel Branco, Papel Misto, Papelão, PEAD caixa, PET Azul, PET Branca, PET Verde, PP misto, PVC, Sucata plástico, Embalagem  longa vida</t>
  </si>
  <si>
    <t>Pilhas e Baterias</t>
  </si>
  <si>
    <t>Prefeitura, Não são realizados treinamentos</t>
  </si>
  <si>
    <t>Luvas, Máscara, Avental, Protetor auricular, Botina</t>
  </si>
  <si>
    <t>Armadilhas para ratos, Higienização periódica da infraestrutura</t>
  </si>
  <si>
    <t>LAS - 274200</t>
  </si>
  <si>
    <t>Alumínio, Alumínio Duro, Alumínio Lata, Alumínio Mista, Alumínio Panela, Alumínio Perfil, Bateria, Caco vidro, Cobre Misto, Eletrônico, EPS/Isopor, Fio, Inox, Inox Ferroso, Mangueira, Metal, Misto/Desmanche eletrônico, Óleo usado, Papel, Papel Branco, Papel Cimento, Papel colorido, Papel Misto, Papel Terceira, Papelão, Parachoque veículo, PEAD branco/leitoso, PEAD caixa, PEAD Colorida, PEAD Garrafinha, PEBD Colorido, PEBD Cristal, PEBD Lona Preta, PET, PET Branca, PET Colorida, PET Cristal, PET Óleo, PET Verde, PP, PP Balde Bacia Branco, PP Balde Bacia Misto, PP branco, PP colorido, PP preto, PS, PS copinho, PVC, Ráfia, Rejeito, Sucata Ferro, Sucata metálica, Sucata plástico, Vidro</t>
  </si>
  <si>
    <t>Pilhas e Baterias, Medicamentos e perfurocortantes, Lâmpadas fluorescentes, Embalagens de óleo lubrificante, Eletroeletrônicos, Pneus inservíveis, Móveis e colchões, Vestuário</t>
  </si>
  <si>
    <t>Acompanhamento pela Secretaria Municipal responsável pela Vigilância Ambiental, Acompanhamento pela Secretaria Municipal responsável pelo Meio Ambiente, Não há acompanhamento e monitoramento</t>
  </si>
  <si>
    <t>Protocolo 24.139.989-3  Requerimento 302.249</t>
  </si>
  <si>
    <t>Alumínio, Alumínio Duro, Alumínio Lata, Alumínio Mista, Alumínio Panela, Alumínio Perfil, Antimônio, Bateria, BOPP, Caco vidro, Cobre Misto, Eletrônico, EPS/Isopor, Fio, Fundido, Inox, Inox Ferroso, Mangueira, Metal, Misto/Desmanche eletrônico, Óleo usado, Papel, Papel Branco, Papel Cimento, Papel Misto, Papelão, Parachoque veículo, PEAD branco/leitoso, PEAD caixa, PEAD Colorida, PEAD Garrafinha, PEBD Colorido, PEBD Cristal, PEBD Lona Preta, PET Bandeja, PET Colorida, PET Cristal, PET Óleo, PET Verde, Plástico filme, PP, PP Balde Bacia Branco, PP Balde Bacia Misto, PP branco, PP colorido, PP Garrafinha, PP Margarina, PP Mineral, PP misto, PP preto, PS copinho, PVC, Ráfia, Rejeito, Sucata Ferro, Sucata metálica, Embalagem  longa vida, Vidro</t>
  </si>
  <si>
    <t>Pátio coberto, Barracão totalmente coberto, Barracão parcialmente coberto</t>
  </si>
  <si>
    <t>Alumínio, Alumínio Duro, Alumínio Lata, Alumínio Mista, Alumínio Panela, Alumínio Perfil, Antimônio, Bateria,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</si>
  <si>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Treinamentos sobre triagem e seleção dos materiais, Treinamentos sobre manuseio da prensa, Treinamento sobre legislação, Treinamento sobre notas fiscais, Treinamento sobre Marketing e Comunicação, Treinamento sobre Saúde</t>
  </si>
  <si>
    <t>Medicamentos e perfurocortantes, Lâmpadas fluorescentes, Embalagens de óleo lubrificante, Eletroeletrônicos, Pneus inservíveis, Móveis e colchões, Vestuário</t>
  </si>
  <si>
    <t>Entidade Gestora, Prefeitura, Governo do Paraná, Outra Instituição ou Organização da Sociedade Civil, Próprios Cooperados/Associados, Fornecedor do equipamento, Responsável Técnico, consultor ou assessoria contratada</t>
  </si>
  <si>
    <t>Acompanhamento pela Secretaria Municipal responsável pela parte social, Acompanhemento pela Secretaria Municipal responsável pelo desenvolvimento econômico, Acompanhamento pela Secretaria Municipal responsável pela Vigilância Ambiental, Acompanhamento pela Secretaria Municipal responsável pelo Meio Ambiente, Acompanhamento por Organizações da Sociedade Civil, Acompanhamento pelas Entidades Gestoras de Logística Reversa</t>
  </si>
  <si>
    <t>Vedação de frestas e buracos, Dedetização periódica, Inseticidas, Higienização periódica da infraestrutura</t>
  </si>
  <si>
    <t>Residências, Comércios, Indústrias, Área rural</t>
  </si>
  <si>
    <t>Licença ambiental simplificada Numero 203050</t>
  </si>
  <si>
    <t>Alumínio, Alumínio Duro, Alumínio Lata, Alumínio Mista, Alumínio Panela, Alumínio Perfil, Antimônio, Bateria, BOPP, Caco vidro, Eletrônico, EPS/Isopor, Metal, Misto/Desmanche eletrônico, Óleo usado, Orgânicos, Papel Branco, Papel Cimento, Papel colorido, Papel Misto, Papelão, Parachoque veículo, PEAD branco/leitoso, PEAD caixa, PEAD Colorida, PEBD Colorido, PEBD Cristal, PEBD Lona Preta, PET Colorida, PET Cristal, PET Óleo, PET Verde, Plástico filme, PP branco, PP colorido, PP preto, PS copinho, PVC, Ráfia, Rejeito, Sucata Ferro, Embalagem  longa vida, Vidro</t>
  </si>
  <si>
    <t>LAS- 296387</t>
  </si>
  <si>
    <t>Alumínio, Alumínio Duro, Alumínio Lata, Alumínio Mista, Alumínio Panela, Alumínio Perfil, Cobre Misto, Eletrônico, Fio, Papel, Papel Branco, Papel Misto, Papel Terceira, Papelão, Parachoque veículo, PEAD branco/leitoso, PEAD caixa, PEAD Colorida, PEAD Garrafinha, PEBD Cristal, PEBD Lona Preta, PET Bandeja, PET, PET Azul, PET Branca, PET Colorida, PET Cristal, PET miolo, PET Óleo, Plástico filme, PP, PP Balde Bacia Branco, PP Balde Bacia Misto, PP branco, PP colorido, PP Garrafinha, PP Margarina, PP Mineral, PP misto, PP Tampinha, PVC, Ráfia, Sucata Ferro, Embalagem  longa vida, Vidro</t>
  </si>
  <si>
    <t>Cadastro/Cartão CNPJ, Comprovante da Conta Bancária, Ata de Eleição da Diretoria Atualizada, Licença Ambiental</t>
  </si>
  <si>
    <t>Pátio sem cobertura, Barracão totalmente coberto, Barracão parcialmente coberto</t>
  </si>
  <si>
    <t>Alumínio, Alumínio Duro, Alumínio Lata, Alumínio Mista, Alumínio Panela, Alumínio Perfil, Antimônio, Bateria, Caco vidro, Eletrônico,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copinho, PVC, Ráfia, Reator Motor, Rejeito, Revista, Sucata Ferro, Sucata metálica, Sucata plástico, Embalagem  longa vida, Vidro</t>
  </si>
  <si>
    <t>las</t>
  </si>
  <si>
    <t>Alumínio, Alumínio Duro, Alumínio Lata, Alumínio Mista, Alumínio Panela, Alumínio Perfil, Antimônio, Bateria, BOPP, Caco vidro, Cobre Misto, Eletrônico, EPS/Isopor, Fio, Fundido, Inox, Inox Ferroso, Mangueira,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Verde, Plástico filme, PP, PP Balde Bacia Branco, PP Balde Bacia Misto, PP branco, PP colorido, PP Garrafinha, PP Margarina, PP misto, PP preto, PP Tampinha, PS, PS copinho, PVC, Reator Motor, Revista, Sucata Ferro, Sucata metálica, Sucata plástico, Embalagem  longa vida, Vidro</t>
  </si>
  <si>
    <t>Móveis e colchões</t>
  </si>
  <si>
    <t>Contrato de Prestação de Serviços com o Município, Termo de Cooperação ou outro com o Município com repasse de recurso, Comprovante de calibração das balanças</t>
  </si>
  <si>
    <t>não temos compostagem</t>
  </si>
  <si>
    <t>Detergente, Sabão em barra, Sabão em pó, Desengordurante, Limpadores multiuso</t>
  </si>
  <si>
    <t>LAS - 347031</t>
  </si>
  <si>
    <t>Alumínio, Alumínio Duro, Alumínio Lata, Alumínio Mista, Alumínio Panela, Alumínio Perfil, Antimônio, Bateria, BOPP, Caco vidro, Cobre Misto, Eletrônico, Fio, Fundido, Inox, Inox Ferroso,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misto, PP preto, PP Tampinha, PVC, Ráfia, Reator Motor, Revista, Sucata Ferro, Sucata metálica, Sucata plástico, Embalagem  longa vida, Vidro</t>
  </si>
  <si>
    <t>Cadastro/Cartão CNPJ, Alvará de Funcionamento, Inscrição Municipal, Inscrição Estadual, Certidão negativa de débitos trabalhistas, Comprovante da Conta Bancária, Estatuto Social, Ata de Eleição da Diretoria Atualizada, Licença Ambiental</t>
  </si>
  <si>
    <t>Requerimento 302384</t>
  </si>
  <si>
    <t>Alumínio, Alumínio Duro, Alumínio Lata, Alumínio Mista, Alumínio Panela, Alumínio Perfil, Bateria, BOPP, Caco vidro, Cobre Misto, Eletrônico, Fio, Fundido, Inox, Inox Ferroso, Mangueira,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</si>
  <si>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Treinamentos sobre triagem e seleção dos materiais, Treinamentos sobre manuseio da prensa, Treinamento sobre legislação, Treinamento sobre notas fiscais, Treinamento sobre Marketing e Comunicação, Treinamento sobre Saúde, Outros</t>
  </si>
  <si>
    <t>prestadores de serviços comunitários</t>
  </si>
  <si>
    <t>Legislação trabalhista de prevenção de doenças e acidentes ocupacionais (exemplo: NR7, NR9, NR15), Outra</t>
  </si>
  <si>
    <t>Cadastro/Cartão CNPJ, Alvará de Funcionamento, Certidão de Débitos relativos a créditos tributários federais e à dívida ativa da união, Comprovante da Conta Bancária, Estatuto Social, Ata de Eleição da Diretoria Atualizada</t>
  </si>
  <si>
    <t>Prefeitura, Outra Instituição ou Organização da Sociedade Civil, Próprios Cooperados/Associados, Fornecedor do equipamento, Responsável Técnico, consultor ou assessoria contratada</t>
  </si>
  <si>
    <t>Vedação de frestas e buracos, Armadilhas para ratos, Inseticidas, Higienização periódica da infraestrutura</t>
  </si>
  <si>
    <t>LAS - 314554</t>
  </si>
  <si>
    <t>Alumínio, Alumínio Duro, Alumínio Lata, Alumínio Mista, Alumínio Panela, Alumínio Perfil, Caco vidro, Cobre Misto, Fio, Inox, Inox Ferroso, Metal, Papel, Papel Branco, Papel Cimento, Papel colorido, Papel Misto, Papel Terceira, Papelão, PET Bandeja, PET, PET Azul, PET Branca, PET Colorida, PET Cristal, PET miolo, PET Óleo, PET Verde, PP Balde Bacia Misto, PP branco, PP colorido, PP Garrafinha, PP Margarina, PP Mineral, PP misto, PP preto, PP Tampinha, PS, PS copinho, PVC, Sucata Ferro, Sucata metálica, Embalagem  longa vida, Vidro</t>
  </si>
  <si>
    <t>Estatuto Social</t>
  </si>
  <si>
    <t>LAS - 265492</t>
  </si>
  <si>
    <t>Associação Brasileira de Bebidas - ABRABE</t>
  </si>
  <si>
    <t>Alumínio, Alumínio Duro, Alumínio Lata, Alumínio Mista, Alumínio Panela, Alumínio Perfil, Antimônio, Bateria, Caco vidro, Cobre Misto, Eletrônico, Fio, Fundido, Inox, Inox Ferroso, Mangueira,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</si>
  <si>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Contrato de Prestação de Serviços com o Município, Termo de Cooperação ou outro com o Município com repasse de recurso, Termo de Cooperação ou outro com o Município sem repasse de recurso, Termo de Cooperação Técnica com Entidade Gestora</t>
  </si>
  <si>
    <t>Prefeitura, Outra Instituição ou Organização da Sociedade Civil, Fornecedor do equipamento, Responsável Técnico, consultor ou assessoria contratada</t>
  </si>
  <si>
    <t>Luvas, Máscara, Protetor auricular, Uniforme, Óculos de proteção</t>
  </si>
  <si>
    <t>LAS 289005 Protocolo 19.558.068-5 (Protocolo 23.714.434-1 Renovação RLAS)</t>
  </si>
  <si>
    <t>Alumínio, Alumínio Duro, Alumínio Lata, Alumínio Mista, Alumínio Panela, Alumínio Perfil, Antimônio, BOPP, Caco vidro, Cobre Misto, Fio, Fundido, Inox, Inox Ferroso, Mangueira, Metal, Misto/Desmanche eletrônico, Orgânicos, Papel, Papel Branco, Papel Terceira, Papelão, Parachoque veículo, PEAD Garrafinha, PET, PET Colorida, PET Óleo, PP Balde Bacia Branco, PP Balde Bacia Misto, PP Garrafinha, PVC, Ráfia, Sucata Ferro, Sucata metálica, Embalagem  longa vida, Vidro</t>
  </si>
  <si>
    <t>Cadastro/Cartão CNPJ, Inscrição Municipal, Certidão de Débitos relativos a créditos tributários federais e à dívida ativa da união, Certidão negativa de débitos trabalhistas, Comprovante da Conta Bancária, Estatuto Social, Ata de Eleição da Diretoria Atualizada, Licença Ambiental</t>
  </si>
  <si>
    <t>Governo do Paraná, Outra Instituição ou Organização da Sociedade Civil, Responsável Técnico, consultor ou assessoria contratada</t>
  </si>
  <si>
    <t>Acompanhamento pela Secretaria Municipal responsável pela parte social, Acompanhemento pela Secretaria Municipal responsável pelo desenvolvimento econômico, Acompanhamento pela Secretaria Municipal responsável pelo Meio Ambiente</t>
  </si>
  <si>
    <t>semestral</t>
  </si>
  <si>
    <t>LAS - 220996 (vigente)</t>
  </si>
  <si>
    <t>Caco vidro, Mangueira, Metal, Papel, Papel Terceira, Papelão, PET, PET Óleo, PET Verde, PP Garrafinha, PP Margarina, Sucata Ferro, Vidro</t>
  </si>
  <si>
    <t>Cadastro/Cartão CNPJ, Certidão de Débitos relativos a créditos tributários federais e à dívida ativa da união, Certidão negativa de débitos trabalhistas, Comprovante da Conta Bancária, Estatuto Social</t>
  </si>
  <si>
    <t>RLAS 261071-R1</t>
  </si>
  <si>
    <t>Alumínio, Alumínio Duro, Alumínio Lata, Alumínio Mista, Alumínio Panela, Alumínio Perfil, Bateria, BOPP, Caco vidro, Eletrônico, EPS/Isopor, Fio, Fundido, Inox, Inox Ferroso, Mangueira, Marmitex, Metal, Misto/Desmanche eletrônico, Orgânicos, Papel, Papel Branco, Papel Cimento, Papel Misto, Papelão, Parachoque veículo, PEAD branco/leitoso, PEAD caixa, PEAD Colorida, PEAD Garrafinha, PEBD Colorido, PEBD Cristal, PEBD Lona Preta, PET Bandeja, PET, PET Branca, PET Colorida, Plástico filme, PP, PP Balde Bacia Branco, PP Balde Bacia Misto, PP branco, PP colorido, PS, PS copinho, PVC, Ráfia, Rejeito, Revista, Sucata Ferro, Sucata metálica, Sucata plástico, Embalagem  longa vida, Vidro</t>
  </si>
  <si>
    <t>LAS- 184769</t>
  </si>
  <si>
    <t>Alumínio, Metal, Papel Branco, Papel Cimento, Papel colorido, Papel Misto, Papelão, PEAD branco/leitoso, PEAD caixa, PEAD Colorida, PEAD Garrafinha, PEBD Colorido, PEBD Cristal, PET, PET Branca, PET Colorida, PET Cristal, PET Óleo, PET Verde, PP Garrafinha, PP misto, PS copinho, PVC, Ráfia, Rejeito, Sucata Ferro, Embalagem  longa vida</t>
  </si>
  <si>
    <t>Alumínio, Alumínio Duro, Alumínio Lata, Alumínio Mista, Alumínio Panela, Alumínio Perfil, Caco vidro, Cobre Misto, Eletrônico, Fio, Fundido, Inox, Inox Ferroso, Metal, Misto/Desmanche eletrônico,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PS, PVC, Ráfia, Reator Motor, Revista, Sucata Ferro, Sucata metálica, Sucata plástico, Embalagem  longa vida, Vidro</t>
  </si>
  <si>
    <t>Cadastro/Cartão CNPJ, Inscrição Municipal, Certidão negativa de débitos trabalhistas, Ata de Eleição da Diretoria Atualizada</t>
  </si>
  <si>
    <t>Água sanitária, Álcool, Limpa vidros, Detergente, Sabão em pó, Desengordurante, Limpadores multiuso</t>
  </si>
  <si>
    <t>Protocolo: 23.983.490-6</t>
  </si>
  <si>
    <t>Alumínio, Alumínio Duro, Alumínio Lata, Alumínio Mista, Alumínio Panela, Alumínio Perfil, Caco vidro, Cobre Misto, Fio, Fundido, Inox, Inox Ferroso, Mangueira, Metal,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PP, PP Balde Bacia Branco, PP Balde Bacia Misto, PP branco, PP colorido, PP Garrafinha, PP Margarina, PP Mineral, PP misto, PP preto, PP Tampinha, PVC, Ráfia, Reator Motor, Revista, Sucata Ferro, Sucata metálica, Sucata plástico, Embalagem  longa vida, Vidro</t>
  </si>
  <si>
    <t>Cadastro/Cartão CNPJ, Inscrição Estadual, Certidão de Débitos relativos a créditos tributários federais e à dívida ativa da união, Certidão negativa de débitos trabalhistas, Comprovante da Conta Bancária, Estatuto Social, Ata de Eleição da Diretoria Atualizada</t>
  </si>
  <si>
    <t>LAS - 274594</t>
  </si>
  <si>
    <t>Alumínio, Alumínio Lata, Alumínio Panela, Alumínio Perfil, Antimônio, Caco vidro, Cobre Misto, Eletrônico, Fio, Inox, Inox Ferroso, Metal, Papel, Papel Branco, Papel Cimento, Papel colorido, Papel Misto, Papelão, PEAD branco/leitoso, PEAD caixa, PEAD Colorida, PEAD Garrafinha, PEBD Colorido, PEBD Cristal, PEBD Lona Preta, PET, PET Branca, PET Colorida, PET Cristal, PET Óleo, PET Verde, PP, PP Balde Bacia Branco, PP Balde Bacia Misto, PP branco, PP colorido, PP Garrafinha, PP Margarina, PP Mineral, PP misto, PP preto, PP Tampinha, PVC, Ráfia, Reator Motor, Revista, Sucata Ferro, Sucata metálica, Sucata plástico, Embalagem  longa vida, Vidro</t>
  </si>
  <si>
    <t>Cadastro/Cartão CNPJ, Alvará de Funcionamento, Inscrição Municipal, Inscrição Estadual, Certidão de Débitos relativos a créditos tributários federais e à dívida ativa da união, Certidão negativa de débitos trabalhistas, Comprovante da Conta Bancária, Estatuto Social, Termo ou Auto de Vistoria do Corpo de Bombeiros, Licença Ambiental</t>
  </si>
  <si>
    <t>Alumínio, Alumínio Duro, Alumínio Lata, Alumínio Mista, Alumínio Panela, Alumínio Perfil, Caco vidro, Cobre Misto, Eletrônico, Fio, Fundido, Inox, Inox Ferroso, Mangueira,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PP, PP Balde Bacia Branco, PP Balde Bacia Misto, PP branco, PP colorido, PP Garrafinha, PP Margarina, PP Mineral, PP misto, PP preto, PP Tampinha, PVC, Ráfia, Revista, Sucata Ferro, Sucata metálica, Sucata plástico, Embalagem  longa vida, Vidro</t>
  </si>
  <si>
    <t>Vedação de frestas e buracos, Inseticidas</t>
  </si>
  <si>
    <t>Alumínio, Alumínio Duro, Alumínio Lata, Alumínio Mista, Alumínio Panela, Alumínio Perfil, Antimônio, Bateria, Caco vidro, Cobre Misto, Eletrônico, EPS/Isopor, Fio, Fundido, Inox, Mangueira, Metal, Misto/Desmanche eletrônico, Papel, Papel Branco, Papel colorido, Papel Misto, Papelão, Parachoque veículo, PEAD branco/leitoso, PEAD caixa, PEAD Colorida, PEAD Garrafinha, PET, PET Branca, PET Colorida, PET Cristal, PET Óleo, PET Verde, PP, PP Balde Bacia Branco, PP Balde Bacia Misto, PP branco, PP colorido, PP Garrafinha, PP Margarina, PP misto, PP Tampinha, PVC, Ráfia, Revista, Sucata Ferro, Sucata metálica, Sucata plástico, Embalagem  longa vida, Vidro</t>
  </si>
  <si>
    <t>Cadastro/Cartão CNPJ, Estatuto Social, Ata de Eleição da Diretoria Atualizada, Termo ou Auto de Vistoria do Corpo de Bombeiros</t>
  </si>
  <si>
    <t>Alumínio, Alumínio Duro, Alumínio Lata, Alumínio Panela, Antimônio, Bateria, Caco vidro, Cobre Misto, Eletrônico, EPS/Isopor, Fio, Fundido, Metal, Papel, Papel Branco, Papel Cimento, Papel Misto, Papelão, Parachoque veículo, PEAD branco/leitoso, PEAD Colorida, PEBD Colorido, PEBD Cristal, PEBD Lona Preta, PET Bandeja, PET Cristal, PET Óleo, PET Verde, PP, PP Balde Bacia Misto, PP Margarina, PS copinho, PVC, Ráfia, Sucata Ferro, Embalagem  longa vida, Vidro</t>
  </si>
  <si>
    <t>LAS-206618-R1</t>
  </si>
  <si>
    <t>Alumínio, Alumínio Duro, Alumínio Lata, Alumínio Mista, Alumínio Panela, Alumínio Perfil, Antimônio, Bateria, Caco vidro, Cobre Misto, Eletrônico, EPS/Isopor,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PVC, Ráfia, Reator Motor, Rejeito, Revista, Sucata Ferro, Sucata metálica, Sucata plástico, Embalagem  longa vida, Vidro</t>
  </si>
  <si>
    <t>Termo de Cooperação ou outro com o Município com repasse de recurso, Termo de Cooperação ou outro com o Município sem repasse de recurso, Comprovante de calibração das balanças</t>
  </si>
  <si>
    <t>Prefeitura, Governo do Paraná, Outra Instituição ou Organização da Sociedade Civil, Próprios Cooperados/Associados, Responsável Técnico, consultor ou assessoria contratada</t>
  </si>
  <si>
    <t>Água sanitária, Limpa vidros, Detergente, Sabão em barra, Sabão em pó, Desengordurante, Limpadores multiuso</t>
  </si>
  <si>
    <t>Dedetização periódica, Expedição de rejeitos com frequência adequada, Armadilhas para ratos, Outro</t>
  </si>
  <si>
    <t>LAS-237457-R1 PROTOCOLO17.469.122-3</t>
  </si>
  <si>
    <t>Barracão parcialmente coberto, Sobre um piso sem impermeabilização</t>
  </si>
  <si>
    <t>Alumínio, Alumínio Lata, Alumínio Panela, Caco vidro, Cobre Misto, Eletrônico, Fio, Inox Ferroso, Metal, Misto/Desmanche eletrônico, Papel, Papel Branco, Papel colorido, Papel Misto, Papelão, PEAD branco/leitoso, PEAD Colorida, PEAD Garrafinha, PEBD Cristal, PET Bandeja, PET, PET Azul, PET Branca, PET Colorida, PET Cristal, PET Óleo, PET Verde, PP, PP Balde Bacia Misto, PVC, Ráfia, Rejeito, Sucata Ferro, Vidro</t>
  </si>
  <si>
    <t>DIARISTAS</t>
  </si>
  <si>
    <t>Acompanhamento pela Secretaria Municipal responsável pela parte social, Acompanhemento pela Secretaria Municipal responsável pelo desenvolvimento econômico, Acompanhamento pela Secretaria Municipal responsável pela Vigilância Ambiental, Acompanhamento pela Secretaria Municipal responsável pelo Meio Ambiente, Acompanhamento por Organizações da Sociedade Civil</t>
  </si>
  <si>
    <t>Alumínio Lata, Papel, Papelão</t>
  </si>
  <si>
    <t>Álcool</t>
  </si>
  <si>
    <t>19.105.429-6</t>
  </si>
  <si>
    <t>Alumínio, Alumínio Duro, Alumínio Lata, Alumínio Mista, Alumínio Panela, Alumínio Perfil, Antimônio, Caco vidro, Cobre Misto, Eletrônico, Fio, Fundido, Inox, Inox Ferroso, Metal, Misto/Desmanche eletrônico, Óleo usado, Papel, Papel Branco, Papel Misto,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Sucata Ferro, Sucata metálica, Embalagem  longa vida, Vidro</t>
  </si>
  <si>
    <t>EPS (Isopor), BOPP - Embalagens plásticas flexíveis e laminadas, PETg (Bandeja), Papel misto ou de terceira</t>
  </si>
  <si>
    <t>Cadastro/Cartão CNPJ, Alvará de Funcionamento, Inscrição Estadual, Comprovante da Conta Bancária, Estatuto Social, Ata de Eleição da Diretoria Atualizada, Termo ou Auto de Vistoria do Corpo de Bombeiros, Licença Ambiental</t>
  </si>
  <si>
    <t>Alumínio, Alumínio Duro, Alumínio Lata, Alumínio Mista, Alumínio Panela, Alumínio Perfil, Antimônio, Bateria, Caco vidro, Cobre Misto, Eletrônico, Fio, Fundido, Inox, Inox Ferroso,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</si>
  <si>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 xml:space="preserve">LAS 288270-R1 </t>
  </si>
  <si>
    <t>Instituto Rever, Associação Brasileira de Bebidas - ABRABE, Outra</t>
  </si>
  <si>
    <t>Alumínio, Alumínio Duro, Alumínio Lata, Alumínio Mista, Alumínio Panela, Alumínio Perfil, Antimônio, Bateria,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PVC, Ráfia, Reator Motor, Revista, Sucata Ferro, Embalagem  longa vida, Vidro</t>
  </si>
  <si>
    <t>EPS (Isopor), BOPP - Embalagens plásticas flexíveis e laminadas, Embalagem cartonada, Papel misto ou de terceira</t>
  </si>
  <si>
    <t>LAS nº 261006</t>
  </si>
  <si>
    <t>Alumínio, Alumínio Duro, Alumínio Lata, Alumínio Mista, Alumínio Panela, Alumínio Perfil, Caco vidro, Cobre Misto, Eletrônico, EPS/Isopor, Fio, Fundido, Inox, Inox Ferroso, Mangueira, Marmitex, Metal, Óleo usado, Papel, Papel Branco, Papel Cimento,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Revista, Sucata Ferro, Sucata metálica, Sucata plástico, Embalagem  longa vida, Vidro</t>
  </si>
  <si>
    <t>Luvas, Protetor auricular, Uniforme, Óculos de proteção, Botina, Outro</t>
  </si>
  <si>
    <t xml:space="preserve">Alumínio, BOPP, Inox, Metal, Óleo usado, Papel, Papelão, PET, PP, PS, Sucata Ferro, Sucata metálica, Vidro, Tetra Pack </t>
  </si>
  <si>
    <t>Cadastro/Cartão CNPJ, Alvará de Funcionamento, Inscrição Municipal, Inscrição Estadual, Certidão negativa de débitos trabalhistas, Estatuto Social, Ata de Eleição da Diretoria Atualizada, Termo ou Auto de Vistoria do Corpo de Bombeiros, Licença Ambiental</t>
  </si>
  <si>
    <t>Alumínio, Alumínio Duro, Alumínio Lata, Alumínio Mista, Alumínio Panela, Alumínio Perfil,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</si>
  <si>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Treinamentos sobre triagem e seleção dos materiais, Treinamentos sobre manuseio da prensa, Treinamento sobre Marketing e Comunicação, Treinamento sobre Saúde</t>
  </si>
  <si>
    <t>Cadastro/Cartão CNPJ, Alvará de Funcionamento, Inscrição Municipal, Inscrição Estadual, Estatuto Social, Ata de Eleição da Diretoria Atualizada, Termo ou Auto de Vistoria do Corpo de Bombeiros</t>
  </si>
  <si>
    <t>LAS - 334513-R1</t>
  </si>
  <si>
    <t>Associação Nacional dos Catadores de Materiais Recicláveis – ANCAT, Ambipar Environment Residential Colletion</t>
  </si>
  <si>
    <t>Alumínio, Alumínio Duro, Alumínio Lata, Alumínio Mista, Alumínio Panela, Alumínio Perfil, Antimônio, Bateria, Caco vidro, Cobre Misto, Eletrônico, Fio, Fundido, Inox, Inox Ferroso, Marmitex, Metal, Misto/Desmanche eletrônico, Óleo usado, Papel, Papel Branco,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</si>
  <si>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Pilhas e Baterias, Medicamentos e perfurocortantes, Lâmpadas fluorescentes, Embalagens de óleo lubrificante, Eletroeletrônicos, Vestuário</t>
  </si>
  <si>
    <t>Máscara, Uniforme, Botina</t>
  </si>
  <si>
    <t>Água sanitária, Álcool, Detergente, Desengordurante</t>
  </si>
  <si>
    <t>LAS - Requerimento n º 295797</t>
  </si>
  <si>
    <t>Alumínio, Alumínio Lata, Alumínio Panela, Caco vidro, Cobre Misto, EPS/Isopor, Fio, Inox Ferroso, Marmitex, Metal, Papel, Papel Branco, Papel Cimento, Papel colorido, Papel Misto, Papel Terceira, Papelão, PEAD branco/leitoso, PEAD caixa, PEAD Colorida, PET Bandeja, PET, PET Azul, PET Branca, PET Colorida, PET Cristal, PET miolo, PET Óleo, PET Verde, Plástico filme, PP, PP Balde Bacia Branco, PP Balde Bacia Misto, PP branco, PP colorido, PP Garrafinha, PP Margarina, PP Mineral, PP misto, PP preto, PP Tampinha, PS copinho, PVC, Ráfia, Revista, Sucata Ferro, Sucata metálica, Sucata plástico</t>
  </si>
  <si>
    <t>RLAS - 04/2024</t>
  </si>
  <si>
    <t>569.17</t>
  </si>
  <si>
    <t>Alumínio, Eletrônico, EPS/Isopor, Mangueira, Marmitex, Metal, Misto/Desmanche eletrônico, Papel, Papel Branco, Papel Misto, Papelão, Parachoque veículo, PEAD branco/leitoso, PEAD caixa, PEAD Colorida, PEAD Garrafinha, PEBD Colorido, PEBD Cristal, PET, PET Azul, PET Branca, PET Colorida, PET Cristal, PET Óleo, PP, PP Balde Bacia Branco, PP Balde Bacia Misto, PP branco, PP colorido, PP Garrafinha, PP Margarina, PP Mineral, PP misto, PP Tampinha, PS, PS copinho, PVC, Sucata metálica, Sucata plástico, Embalagem  longa vida, Vidro</t>
  </si>
  <si>
    <t>Medicamentos e perfurocortantes</t>
  </si>
  <si>
    <t>Cadastro/Cartão CNPJ, Alvará de Funcionamento, Inscrição Estadual, Certidão de Débitos relativos a créditos tributários federais e à dívida ativa da união, Certidão negativa de débitos trabalhistas, Estatuto Social, Ata de Eleição da Diretoria Atualizada, Licença Ambiental</t>
  </si>
  <si>
    <t>Presidente, Vice-Presidente, Outros membros</t>
  </si>
  <si>
    <t>339.52</t>
  </si>
  <si>
    <t>Água sanitária, Sabão em pó</t>
  </si>
  <si>
    <t xml:space="preserve">RENOVAÇÃO DE LICENÇA AMBIENTAL SIMPLIFICADA Nº 04/2024 - Protocolo: 3.049/2024 7. </t>
  </si>
  <si>
    <t>Associação Nacional dos Catadores de Materiais Recicláveis – ANCAT, Pragma Soluções Serviços e Projetos LTDA</t>
  </si>
  <si>
    <t>RLO - 301626</t>
  </si>
  <si>
    <t>Alumínio, Alumínio Duro, Alumínio Lata, Alumínio Mista, Alumínio Panela, Alumínio Perfil, Bateria, Caco vidro, Cobre Misto, Eletrônico, Fio, Fundido, Inox, Inox Ferroso, Metal, Misto/Desmanche eletrônico, Papel, Papel Branco, Papel Cimento, Papel colorido, Papel Misto, Papelão, Parachoque veículo, PEAD branco/leitoso, PEAD caixa, PEAD Garrafinha, PEBD Colorido, PEBD Cristal, PEBD Lona Preta, PET, PET Branca, PET Cristal, PET Óleo, PET Verde, PP, PP Balde Bacia Branco, PP Balde Bacia Misto, PP branco, PP colorido, PP Margarina, PP Mineral, PP misto, PP preto, PP Tampinha, PVC, Ráfia, Revista, Sucata Ferro, Sucata metálica, Sucata plástico, Embalagem  longa vida, Vidro</t>
  </si>
  <si>
    <t>PETg (Bandeja), Outros</t>
  </si>
  <si>
    <t>Acompanhemento pela Secretaria Municipal responsável pelo desenvolvimento econômico</t>
  </si>
  <si>
    <t>Todos os dias</t>
  </si>
  <si>
    <t>Alumínio, Alumínio Duro, Alumínio Lata, Alumínio Mista, Alumínio Panela, Caco vidro, Cobre Misto, Eletrônico, Fio, Inox Ferroso, Mangueira, Metal, Papel, Papel Branco, Papel Cimento, Papel colorido, Papel Misto, Papel Terceira, Papelão, PEAD branco/leitoso, PEAD Colorida, PEAD Garrafinha, PEBD Cristal, PET, PET Azul, PET Branca, PET Colorida, PET Cristal, PET Óleo, PET Verde, PP Balde Bacia Branco, PP Balde Bacia Misto, PP branco, PP colorido, PP Garrafinha, PP Margarina, PP Tampinha, PVC, Sucata Ferro, Sucata plástico, Embalagem  longa vida, Vidro</t>
  </si>
  <si>
    <t>Outros membros</t>
  </si>
  <si>
    <t>LAS - 46448</t>
  </si>
  <si>
    <t>Alumínio, Alumínio Duro, Alumínio Lata, Alumínio Mista, Alumínio Panela, Alumínio Perfil, Bateria, Caco vidro, Eletrônico, EPS/Isopor,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Óleo, PET Verde, Plástico filme, PP Balde Bacia Branco, PP Balde Bacia Misto, PP branco, PP colorido, PP Garrafinha, PP Margarina, PP Mineral, PP misto, PP preto, PP Tampinha, PVC, Ráfia, Revista, Sucata Ferro, Sucata metálica, Embalagem  longa vida, Vidro</t>
  </si>
  <si>
    <t>Cadastro/Cartão CNPJ, Alvará de Funcionamento, Certidão de Débitos relativos a créditos tributários federais e à dívida ativa da união, Estatuto Social, Ata de Eleição da Diretoria Atualizada, Licença Ambiental</t>
  </si>
  <si>
    <t>Protocolo 21.501.391-0</t>
  </si>
  <si>
    <t>Alumínio, Alumínio Duro, Alumínio Lata, Alumínio Panela, Antimônio, Bateria, Caco vidro, EPS/Isopor, Inox, Inox Ferroso, Metal, Misto/Desmanche eletrônico, Óleo usado, Papel, Papel Branco, Papel Cimento, Papel colorido, Papel Misto, Papelão, PEAD branco/leitoso, PEAD caixa, PEAD Colorida, PEAD Garrafinha, PEBD Colorido, PEBD Cristal, PEBD Lona Preta, PET, PET Azul, PET Branca, PET Colorida, PET Cristal, PET Óleo, PET Verde, Plástico filme, PP Balde Bacia Branco, PP Balde Bacia Misto, PP branco, PP colorido, PP Garrafinha, PP Margarina, PP Mineral, PP misto, PP preto, PP Tampinha, PS, PS copinho, PVC, Ráfia, Revista, Sucata Ferro, Sucata metálica, Vidro</t>
  </si>
  <si>
    <t>Pilhas e Baterias, Eletroeletrônicos, Pneus inservíveis</t>
  </si>
  <si>
    <t>Cadastro/Cartão CNPJ, Alvará de Funcionamento, Certidão de Débitos relativos a créditos tributários federais e à dívida ativa da união, Ata de Eleição da Diretoria Atualizada, Termo ou Auto de Vistoria do Corpo de Bombeiros, Licença Ambiental</t>
  </si>
  <si>
    <t>LAS - 344456</t>
  </si>
  <si>
    <t>Alumínio Duro, Alumínio Panela, Alumínio Perfil, Bateria, EPS/Isopor, Metal, Óleo usado, Papel Branco, Papel Cimento, Papel Misto, Papelão, PEAD branco/leitoso, PEAD Colorida, PEBD Colorido, PEBD Cristal, PEBD Lona Preta, PET, PET Branca, PET Cristal, PET Óleo, PET Verde, Plástico filme, PP Balde Bacia Branco, PP Balde Bacia Misto, PP Margarina, PP Tampinha, PVC, Reator Motor, Rejeito, Revista, Sucata Ferro, Sucata metálica, Embalagem  longa vida, Vidro</t>
  </si>
  <si>
    <t>Treinamentos sobre triagem e seleção dos materiais, Treinamento sobre Marketing e Comunicação</t>
  </si>
  <si>
    <t>Cadastro/Cartão CNPJ, Alvará de Funcionamento, Estatuto Social, Ata de Eleição da Diretoria Atualizada, Termo ou Auto de Vistoria do Corpo de Bombeiros, Licença Ambiental</t>
  </si>
  <si>
    <t>LAS 290622</t>
  </si>
  <si>
    <t>A céu aberto, Outra forma</t>
  </si>
  <si>
    <t>Alumínio, Alumínio Duro, Alumínio Lata, Alumínio Mista, Alumínio Panela, Alumínio Perfil, Antimônio, Bateria,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</si>
  <si>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Sim, catadores autônomos externos, Sim, funcionários CLT ou Pessoa Jurídica, Sim, voluntários, Prestadores de serviço comunitário</t>
  </si>
  <si>
    <t>Cadastro/Cartão CNPJ, Inscrição Municipal, Inscrição Estadual, Certidão de Débitos relativos a créditos tributários federais e à dívida ativa da união, Certidão negativa de débitos trabalhistas, Comprovante da Conta Bancária, Estatuto Social, Ata de Eleição da Diretoria Atualizada, Termo ou Auto de Vistoria do Corpo de Bombeiros, Licença Ambiental</t>
  </si>
  <si>
    <t>Termo de Cooperação ou outro com o Município com repasse de recurso, Outro</t>
  </si>
  <si>
    <t>Legislação trabalhista de prevenção de doenças e acidentes ocupacionais (exemplo: NR7, NR9, NR15), Programa de Controle Médico de Saúde Ocupacional - PCMSO</t>
  </si>
  <si>
    <t>Água sanitária, Álcool, Querosene, Detergente, Sabão em pó, Desengordurante, Limpadores multiuso</t>
  </si>
  <si>
    <t>LAS-304172 R1</t>
  </si>
  <si>
    <t>Alumínio, Alumínio Duro, Alumínio Lata, Alumínio Panela, Alumínio Perfil, Antimônio, Bateria, Caco vidro, Cobre Misto, Eletrônico, Fio, Inox, Inox Ferroso, Metal, Misto/Desmanche eletrônico, Papel, Papel Branco, Papel Cimento, Papel colorido, Papel Misto, Papel Terceira, Papelão, PEAD branco/leitoso, PEAD caixa, PEAD Colorida, PEAD Garrafinha, PET Bandeja, PET, PET Azul, PET Branca, PET Colorida, PET Cristal, PET Óleo, PET Verde, PP, PP Balde Bacia Branco, PP Balde Bacia Misto, PP branco, PP colorido, PP Garrafinha, PP Margarina, PP Mineral, PP misto, PP preto, PP Tampinha, PVC, Ráfia, Revista, Sucata Ferro, Sucata metálica, Embalagem  longa vida, Vidro</t>
  </si>
  <si>
    <t>Treinamentos sobre triagem e seleção dos materiais, Treinamentos sobre manuseio da prensa, Treinamento sobre notas fiscais, Outros</t>
  </si>
  <si>
    <t>LO-208064</t>
  </si>
  <si>
    <t>Alumínio, Alumínio Duro, Alumínio Lata, Alumínio Panela, Alumínio Perfil, Caco vidro, Eletrônico, Fio, Mangueira, Metal, Papel, Papel Branco, Papel Misto, Papelão, Parachoque veículo, PEAD branco/leitoso, PEAD caixa, PEAD Colorida, PEAD Garrafinha, PEBD Colorido, PEBD Cristal, PEBD Lona Preta, PET Branca, PET Cristal, PET miolo, PET Óleo, PET Verde, Plástico filme, PP, PP Balde Bacia Branco, PP Balde Bacia Misto, PP branco, PP Margarina, PP preto, PS, PVC, Revista, Sucata metálica, Embalagem  longa vida</t>
  </si>
  <si>
    <t>Diariamente</t>
  </si>
  <si>
    <t>LAS 168848</t>
  </si>
  <si>
    <t>Alumínio Lata, Cobre Misto, Eletrônico, EPS/Isopor, Fio, Fundido, Inox, Mangueira, Marmitex, Metal, Papel, Papel Branco, Papel Cimento, Papel colorido, Papel Misto, Papelão, Parachoque veículo, PEAD branco/leitoso, PEAD Garrafinha, PET Bandeja, PET, PET Azul, PET Branca, PET Colorida, PET Cristal, PET miolo, PET Verde, PP Balde Bacia Branco, PVC, Revista, Sucata Ferro, Sucata metálica, Vidro</t>
  </si>
  <si>
    <t>Quarta, Quinta</t>
  </si>
  <si>
    <t>Vedação de frestas e buracos, Higienização periódica da infraestrutura</t>
  </si>
  <si>
    <t>NÃO FOI SOLICITADA AINDA DEVIDO A CRIAÇÃO RECENTE</t>
  </si>
  <si>
    <t>Alumínio, Alumínio Duro, Alumínio Lata, Alumínio Mista, Alumínio Panela, Alumínio Perfil, Caco vidro, Cobre Misto, Eletrônico, Fio, Inox, Inox Ferroso, Metal, Misto/Desmanche eletrônico, Papel, Papel Branco, Papel Cimento, Papel colorido, Papel Misto, Papel Terceira, Papelão, Parachoque veículo, PEAD branco/leitoso, PEAD caixa, PEAD Colorida, PEAD Garrafinha, PEBD Colorido, PEBD Cristal, PEBD Lona Preta, PET Cristal, PET Óleo, PET Verde, PP branco, PP colorido, PP Garrafinha, PP Mineral, PVC, Ráfia, Sucata Ferro, Embalagem  longa vida, Vidro</t>
  </si>
  <si>
    <t>ATERRO DO CICA</t>
  </si>
  <si>
    <t>2 VEZES NA SEMANA</t>
  </si>
  <si>
    <t>Alumínio Lata, Alumínio Mista, Alumínio Panela, Fio, Metal, Papel, Papel Branco, Papel Cimento, Papel colorido, Papel Misto, Papel Terceira, Papelão, PET Bandeja, PET, PET Azul, PET Branca, PET Colorida, PET Cristal, PET miolo, PET Óleo, PET Verde, PP Balde Bacia Branco, PP Balde Bacia Misto, PP Garrafinha, PP Margarina, PP Mineral, PP misto, PP preto, PP Tampinha, PS copinho, Sucata plástico, Embalagem  longa vida, Vidro</t>
  </si>
  <si>
    <t>Luvas, Máscara, Botina, Outro</t>
  </si>
  <si>
    <t>Detergente, Sabão em barra, Outro</t>
  </si>
  <si>
    <t>Expedição de rejeitos com frequência adequada, Inseticidas, Outro</t>
  </si>
  <si>
    <t>339710-R1</t>
  </si>
  <si>
    <t>Alumínio, Alumínio Lata, Alumínio Mista, Alumínio Panela, Caco vidro, Cobre Misto, Eletrônico, EPS/Isopor, Fio, Inox, Metal, Papel, Papel Branco, Papel colorido, Papel Misto, Papelão, PEAD branco/leitoso, PEAD caixa, PEAD Colorida, PEAD Garrafinha, PET Bandeja, PET, PET Azul, PET Branca, PET miolo, PET Óleo, PET Verde, PP, PP branco, PP misto, PS, PS copinho, PVC, Ráfia, Revista, Sucata Ferro, Sucata metálica, Sucata plástico, Vidro</t>
  </si>
  <si>
    <t>EPS (Isopor), PETg (Bandeja), Embalagem cartonada</t>
  </si>
  <si>
    <t>Cadastro/Cartão CNPJ, Inscrição Municipal, Inscrição Estadual, Estatuto Social, Ata de Eleição da Diretoria Atualizada, Licença Ambiental</t>
  </si>
  <si>
    <t>não fazemos compostagem</t>
  </si>
  <si>
    <t>1 vez ao dia</t>
  </si>
  <si>
    <t>Detergente, Sabão em pó, Outro</t>
  </si>
  <si>
    <t>Vedação de frestas e buracos, Dedetização periódica, Inseticidas</t>
  </si>
  <si>
    <t>LAS - 337247-R1</t>
  </si>
  <si>
    <t>Alumínio, Alumínio Duro, Alumínio Lata, Alumínio Mista, Alumínio Panela, Alumínio Perfil, Caco vidro, Cobre Misto, Eletrônico, Inox, Inox Ferroso, Mangueira, Metal, Papel, Papel Branco, Papel colorido, Papel Misto, Papel Terceira, Papelão, PEAD branco/leitoso, PEAD caixa, PEAD Colorida, PEAD Garrafinha, PEBD Colorido, PEBD Cristal, PEBD Lona Preta, PET, PET Azul, PET Branca, PET Colorida, PET Cristal, PET miolo, PET Óleo, PET Verde, PP, PP Balde Bacia Branco, PP Balde Bacia Misto, PP branco, PP colorido, PP Garrafinha, PP Margarina, PP Mineral, PP misto, PP preto, PP Tampinha, PS, PS copinho, Revista, Sucata Ferro, Sucata metálica, Embalagem  longa vida, Vidro</t>
  </si>
  <si>
    <t>Cadastro/Cartão CNPJ, Alvará de Funcionamento, Inscrição Municipal, Inscrição Estadual, Certidão de Débitos relativos a créditos tributários federais e à dívida ativa da união, Certidão negativa de débitos trabalhistas, Estatuto Social, Licença Ambiental</t>
  </si>
  <si>
    <t>Uniforme, Botina</t>
  </si>
  <si>
    <t>LAS 340695</t>
  </si>
  <si>
    <t>Alumínio, Alumínio Duro, Alumínio Lata, Alumínio Mista, Alumínio Panela, Alumínio Perfil, Caco vidro, Eletrônico, Fio, Fundido, Inox, Inox Ferroso, Metal, Misto/Desmanche eletrônico, Óleo usado, Papel, Papel Branco, Papel Cimento, Papel colorido, Papel Misto, Papel Terceira, Papelão, Parachoque veículo, PET Bandeja, PET, PET Azul, PET Branca, PET Colorida, PET Cristal, PET miolo, PET Óleo, PET Verde, Plástico filme, PP, PP Balde Bacia Branco, PP Balde Bacia Misto, PP branco, PP colorido, PP Garrafinha, PP Margarina, PP Mineral, PP misto, PP preto, PP Tampinha, PVC, Revista, Sucata Ferro, Sucata metálica, Sucata plástico, Embalagem  longa vida, Vidro</t>
  </si>
  <si>
    <t>resíduos orgânicos não vão para a associação</t>
  </si>
  <si>
    <t>Vedação de frestas e buracos, Expedição de rejeitos com frequência adequada, Armadilhas para ratos, Inseticidas</t>
  </si>
  <si>
    <t>Alumínio, Alumínio Duro, Alumínio Lata, Alumínio Panela, Alumínio Perfil, Bateria, Caco vidro, Cobre Misto, Eletrônico, EPS/Isopor, Fio, Fundido, Metal, Misto/Desmanche eletrônico, Papel, Papel Branco, Papel Cimento, Papel colorido, Papel Misto, Papelão, Parachoque veículo, PEAD branco/leitoso, PEAD caixa, PEAD Colorida, PEAD Garrafinha, PEBD Colorido, PEBD Cristal, PEBD Lona Preta, PET, PET Azul, PET Branca, PET Colorida, PET Cristal, PET Óleo, PET Verde, Plástico filme, PP, PP Balde Bacia Branco, PP Balde Bacia Misto, PP branco, PP colorido, PP Garrafinha, PP Margarina, PP misto, PP preto, PS, PS copinho, PVC, Ráfia, Reator Motor, Rejeito, Sucata Ferro, Sucata metálica, Embalagem  longa vida, Vidro</t>
  </si>
  <si>
    <t>Treinamentos sobre triagem e seleção dos materiais, Treinamento sobre legislação, Treinamento sobre Marketing e Comunicação, Treinamento sobre Saúde, Outros</t>
  </si>
  <si>
    <t>Doação para a população, associados, Aterro</t>
  </si>
  <si>
    <t>Expedição de rejeitos com frequência adequada, Higienização periódica da infraestrutura, Outro</t>
  </si>
  <si>
    <t>Associação não possui licença, a prefeitura que tem.</t>
  </si>
  <si>
    <t>Alumínio, Alumínio Duro, Alumínio Lata, Alumínio Mista, Alumínio Panela, Alumínio Perfil, Caco vidro, Cobre Misto, Eletrônico, Fio, Fundido, Inox, Inox Ferroso, Mangueira, Metal, Misto/Desmanche eletrônico,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PVC, Ráfia, Reator Motor, Revista, Sucata Ferro, Sucata metálica, Sucata plástico, Embalagem  longa vida, Vidro</t>
  </si>
  <si>
    <t>Acompanhemento pela Secretaria Municipal responsável pelo desenvolvimento econômico, Acompanhamento pela Secretaria Municipal responsável pela Vigilância Ambiental, Acompanhamento pela Secretaria Municipal responsável pelo Meio Ambiente</t>
  </si>
  <si>
    <t>Não realizamos a doação</t>
  </si>
  <si>
    <t>não fazemos a separação</t>
  </si>
  <si>
    <t>Alumínio, Cobre Misto, Papel, Papel Branco, Papelão, PET, PET Cristal, PP, PVC, Ráfia, Embalagem  longa vida, Vidro</t>
  </si>
  <si>
    <t>Responsável Técnico, consultor ou assessoria contratada, Não são realizados treinamentos</t>
  </si>
  <si>
    <t>LAS - 312022 PROTOCOLO 21.228.985-0</t>
  </si>
  <si>
    <t>Cadastro/Cartão CNPJ, Alvará de Funcionamento, Inscrição Municipal, Estatuto Social, Ata de Eleição da Diretoria Atualizada, Termo ou Auto de Vistoria do Corpo de Bombeiros, Licença Ambiental</t>
  </si>
  <si>
    <t>NAO GERA COMPOSTO ORGANICO</t>
  </si>
  <si>
    <t>LAS - 302147</t>
  </si>
  <si>
    <t>Caco vidro, Papel, Papelão, PEAD branco/leitoso, PEAD caixa, PET, PP branco, PP colorido, PP preto, PVC, Ráfia, Sucata plástico, Embalagem  longa vida, Vidro</t>
  </si>
  <si>
    <t>LAS-207454</t>
  </si>
  <si>
    <t>Alumínio, Alumínio Duro, Alumínio Lata, Alumínio Mista, Alumínio Panela, Alumínio Perfil, Antimônio, BOPP, Caco vidro, Eletrônico, EPS/Isopor, Fio, Fundido, Metal, Óleo usado, Papel, Papel Branco, Papel Cimento, Papel Misto, Papelão, PEAD branco/leitoso, PEAD caixa, PEAD Colorida, PEAD Garrafinha, PEBD Colorido, PEBD Cristal, PET Bandeja, PET, PET Colorida, PET Cristal, PET Óleo, PP, PP Balde Bacia Branco, PP Balde Bacia Misto, PP preto, PS copinho, PVC, Rejeito, Sucata Ferro, Sucata metálica, Embalagem  longa vida, Vidro</t>
  </si>
  <si>
    <t>Treinamentos sobre manuseio da prensa, Treinamento sobre legislação, Treinamento sobre notas fiscais, Treinamento sobre MTR, Treinamento sobre Saúde</t>
  </si>
  <si>
    <t>Por meio do município, Por meio de entidades gestoras, Por meio de outra instituição, ONG ou por projeto/Edital, Por meio de Responsável Técnico contratado</t>
  </si>
  <si>
    <t>Alumínio, Alumínio Duro, Alumínio Lata, Alumínio Mista, Alumínio Panela, Alumínio Perfil, Antimônio, Bateria, Caco vidro, Cobre Misto, Eletrônico, Fio, Fundido, Inox, Inox Ferroso, Mangueira, Metal, Misto/Desmanche eletrônico, Papel Branco, Papel Cimento, Papel Misto, Papelão, Parachoque veículo, PEAD branco/leitoso, PEAD caixa, PEAD Colorida, PEAD Garrafinha, PEBD Colorido, PEBD Cristal, PEBD Lona Preta, PET, PET Azul, PET Branca, PET Colorida, PET Cristal, PET Óleo, PET Verde, Plástico filme, PP, PP Balde Bacia Branco, PP Balde Bacia Misto, PP branco, PP colorido, PP Garrafinha, PP preto, PP Tampinha, PS copinho, PVC, Ráfia, Reator Motor, Rejeito, Sucata Ferro, Embalagem  longa vida, Vidro</t>
  </si>
  <si>
    <t>Em processo</t>
  </si>
  <si>
    <t>Alumínio, Alumínio Duro, Alumínio Lata, Alumínio Panela, Alumínio Perfil, Antimônio, Bateria, Caco vidro, Cobre Misto, Eletrônico, Fio, Inox, Inox Ferroso, Metal, Misto/Desmanche eletrônico, Papel, Papel Branco, Papel Cimento, Papel colorido, Papel Misto, Papel Terceira, Papelão, PEAD branco/leitoso, PEAD Colorida, PET, PET Branca, PET Óleo, PET Verde, Plástico filme, PP Balde Bacia Branco, PP Balde Bacia Misto, PP branco, PP colorido, PP preto, PP Tampinha, PS copinho, PVC, Ráfia, Rejeito, Revista, Sucata Ferro, Embalagem  longa vida, Vidro</t>
  </si>
  <si>
    <t>Lâmpadas fluorescentes, Eletroeletrônicos, Vestuário</t>
  </si>
  <si>
    <t>Acompanhamento pela Secretaria Municipal responsável pela parte social, Acompanhamento pelas Entidades Gestoras de Logística Reversa</t>
  </si>
  <si>
    <t>LP: 334968</t>
  </si>
  <si>
    <t>Alumínio, Alumínio Lata, Alumínio Mista, Alumínio Panela, Alumínio Perfil, Bateria, Caco vidro, Cobre Misto, Eletrônico, Fio, Inox, Mangueira, Metal, Óleo usado, Papel, Papel Branco, Papel Cimento, Papel Misto, Papel Terceira, Papelão, PEAD branco/leitoso, PEAD caixa, PEAD Colorida, PEAD Garrafinha, PEBD Colorido, PEBD Cristal, PET Bandeja, PET, PET Colorida, PET Cristal, PET Óleo, PET Verde, PP, PP Balde Bacia Branco, PS, PS copinho, PVC, Rejeito, Sucata Ferro, Sucata plástico, Vidro</t>
  </si>
  <si>
    <t>Cadastro/Cartão CNPJ, Alvará de Funcionamento, Inscrição Municipal, Certidão de Débitos relativos a créditos tributários federais e à dívida ativa da união, Certidão negativa de débitos trabalhistas, Estatuto Social, Ata de Eleição da Diretoria Atualizada, Termo ou Auto de Vistoria do Corpo de Bombeiros, Licença Ambiental</t>
  </si>
  <si>
    <t>Por meio de entidades gestoras, Por meio de outra instituição, ONG ou por projeto/Edital</t>
  </si>
  <si>
    <t>utilização nas hortas escolares</t>
  </si>
  <si>
    <t>Vedação de frestas e buracos, Dedetização periódica, Armadilhas para ratos, Inseticidas</t>
  </si>
  <si>
    <t>Alumínio, Alumínio Lata, Alumínio Panela, Alumínio Perfil, Bateria, BOPP, Caco vidro, Cobre Misto, Eletrônico, Fio, Fundido, Inox, Inox Ferroso,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PS, PVC, Ráfia, Revista, Sucata Ferro, Sucata metálica, Sucata plástico, Embalagem  longa vida, Vidro</t>
  </si>
  <si>
    <t>todos os dias</t>
  </si>
  <si>
    <t>Alumínio, Alumínio Duro, Alumínio Lata, Alumínio Mista, Alumínio Panela, Caco vidro, Cobre Misto, Eletrônico, EPS/Isopor, Fio, Fundido, Inox, Inox Ferroso, Mangueira, Metal, Papel, Papel Branco,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misto, PP preto, PP Tampinha, PS, PS copinho, PVC, Ráfia, Revista, Sucata Ferro, Sucata metálica, Sucata plástico, Embalagem  longa vida, Vidro</t>
  </si>
  <si>
    <t>Água sanitária, Álcool, Detergente, Sabão em pó, Desengordurante</t>
  </si>
  <si>
    <t>Alumínio, Alumínio Lata, Alumínio Panela, Antimônio, Caco vidro, Cobre Misto, Eletrônico, Fio, Inox, Metal, Papel, Papel Branco, Papel Cimento, Papel colorido, Papel Misto, Papel Terceira, Papelão, PEAD caixa, PEAD Garrafinha, PET Branca, PET Colorida, Plástico filme, PP Margarina, PP preto, PP Tampinha, PS, PS copinho, PVC, Revista, Sucata Ferro, Sucata metálica, Embalagem  longa vida, Vidro</t>
  </si>
  <si>
    <t>001</t>
  </si>
  <si>
    <t>Cadastro/Cartão CNPJ, Alvará de Funcionamento, Estatuto Social, Ata de Eleição da Diretoria Atualizada</t>
  </si>
  <si>
    <t xml:space="preserve">Aterro </t>
  </si>
  <si>
    <t>Alumínio, Alumínio Duro, Alumínio Lata, Alumínio Mista, Alumínio Panela, Alumínio Perfil, Caco vidro, Cobre Misto, Eletrônico, Fio, Inox, Inox Ferroso, Papel, Papel Branco, Papel Cimento, Papel colorido, Papel Misto, Papel Terceira, Papelão, Parachoque veículo, PET Bandeja, PET, PET Azul, PET Branca, PET Colorida, PET Cristal, PET miolo, PET Óleo, PET Verde, PP Balde Bacia Branco, PP Balde Bacia Misto, PP Garrafinha, PP Margarina, PP misto, PP preto, PS copinho, Ráfia, Revista, Sucata Ferro, Sucata metálica, Sucata plástico, Embalagem  longa vida, Vidro</t>
  </si>
  <si>
    <t>Presidente, Vice-Presidente, Secretário (a), Vice-Secretário (a), Conselho Fiscal</t>
  </si>
  <si>
    <t>23.022.321-1</t>
  </si>
  <si>
    <t>A Associação ainda não está recebendo os resíduos.</t>
  </si>
  <si>
    <t>Treinamentos sobre triagem e seleção dos materiais, Treinamentos sobre manuseio da prensa, Treinamento sobre legislação</t>
  </si>
  <si>
    <t>Laudo Técnico das Condições Ambientais de Trabalho - LTCAT</t>
  </si>
  <si>
    <t>Cadastro/Cartão CNPJ, Alvará de Funcionamento, Inscrição Municipal, Certidão de Débitos relativos a créditos tributários federais e à dívida ativa da união</t>
  </si>
  <si>
    <t>Alumínio, Alumínio Duro, Alumínio Lata, Alumínio Panela, Alumínio Perfil, Caco vidro, Eletrônico, Marmitex, Metal, Papel, Papel Branco,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</si>
  <si>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Embalagens de óleo lubrificante, Eletroeletrônicos, Pneus inservíveis</t>
  </si>
  <si>
    <t>Geração de biogás em um biodigestor, o gás é utilizado pela associação para preparo do café aos associados diariamente.</t>
  </si>
  <si>
    <t>Requerimento nº295.700. Protocolo nº23.723.967-9</t>
  </si>
  <si>
    <t>Alumínio, Caco vidro, Cobre Misto, EPS/Isopor, Metal, Orgânicos, Papel, Papel Branco, Papel Cimento, Papel colorido, Papel Misto, Papel Terceira, Papelão, PEAD branco/leitoso, PEAD caixa, PEAD Colorida, PEAD Garrafinha, PEBD Colorido, PEBD Cristal, PEBD Lona Preta, PET Bandeja, PET, PET Azul, PET Branca, PET Colorida, PET Cristal, PET miolo, PET Óleo, PET Verde, PP Balde Bacia Branco, PP Balde Bacia Misto, PP branco, PP colorido, PP Garrafinha, PP Margarina, PP Mineral, PP misto, PP preto, PP Tampinha, PS, PS copinho, PVC, Ráfia, Revista, Sucata Ferro, Sucata metálica, Embalagem  longa vida, Vidro</t>
  </si>
  <si>
    <t>Cadastro/Cartão CNPJ, Alvará de Funcionamento, Certidão de Débitos relativos a créditos tributários federais e à dívida ativa da união, Certidão negativa de débitos trabalhistas, Comprovante da Conta Bancária, Estatuto Social, Ata de Eleição da Diretoria Atualizada, Termo ou Auto de Vistoria do Corpo de Bombeiros</t>
  </si>
  <si>
    <t>Água sanitária, Álcool, Sabão em pó</t>
  </si>
  <si>
    <t>Armadilhas para ratos, Inseticidas, Higienização periódica da infraestrutura</t>
  </si>
  <si>
    <t>Alumínio, Alumínio Duro, Alumínio Lata, Alumínio Mista, Alumínio Panela, Alumínio Perfil, Bateria, BOPP, Caco vidro, Cobre Misto, EPS/Isopor, Fio, Inox, Inox Ferroso, Metal, Misto/Desmanche eletrônico, Papel, Papel Branco, Papel Cimento, Papel colorido, Papel Misto, Papel Terceira, Papelão, PEAD branco/leitoso, PEAD caixa, PEAD Colorida, PEAD Garrafinha, PEBD Colorido, PEBD Cristal, PET, PET Azul, PET Branca, PET Colorida, PET Cristal, PET Óleo, PET Verde, PP, PP Balde Bacia Branco, PP Balde Bacia Misto, PP branco, PP colorido, PP Garrafinha, PP Margarina, PP Mineral, PP misto, PVC, Ráfia, Sucata Ferro, Sucata metálica, Embalagem  longa vida, Vidro</t>
  </si>
  <si>
    <t>RLAS 309281-R1</t>
  </si>
  <si>
    <t>Alumínio, Alumínio Duro, Alumínio Lata, Bateria, BOPP, Caco vidro, Cobre Misto, Eletrônico, Fio, Fundido, Inox, Inox Ferroso, Metal, Papel, Papel Branco, Papel colorido, Papel Misto, Papelão, PEAD branco/leitoso, PEAD caixa, PEAD Colorida, PEAD Garrafinha, PEBD Colorido, PEBD Cristal, PEBD Lona Preta, PET, PET Branca, PET Colorida, PET Cristal, PET Óleo, PP, PP Balde Bacia Misto, PP Garrafinha, PVC, Ráfia, Rejeito, Sucata Ferro, Sucata metálica, Embalagem  longa vida, Vidro</t>
  </si>
  <si>
    <t>Treinamento sobre notas fiscais, Treinamento sobre MTR</t>
  </si>
  <si>
    <t>LAS - 341295</t>
  </si>
  <si>
    <t>Alumínio, Alumínio Duro, Alumínio Lata, Alumínio Panela, Alumínio Perfil, Antimônio, Caco vidro, Cobre Misto, Eletrônico, Fio, Fundido, Inox, Mangueira, Metal, Óleo usado, Papel, Papel Branco, Papel Cimento, Papel colorido, Papel Misto, Papelão, PEAD branco/leitoso, PEAD caixa, PEAD Colorida, PEAD Garrafinha, PEBD Colorido, PEBD Cristal, PEBD Lona Preta, PET, PET Azul, PET Branca, PET Colorida, PET Cristal, PET Óleo, PET Verde, Plástico filme, PP, PP Balde Bacia Branco, PP Balde Bacia Misto, PP branco, PP colorido, PP Garrafinha, PP Margarina, PP misto, PP preto, PS, PS copinho, PVC, Ráfia, Rejeito, Revista, Sucata Ferro, Sucata metálica, Sucata plástico, Vidro</t>
  </si>
  <si>
    <t>diarista</t>
  </si>
  <si>
    <t>protocolo 17.490.464-2</t>
  </si>
  <si>
    <t>Alumínio, Alumínio Duro, Alumínio Lata, Alumínio Mista, Alumínio Panela, Alumínio Perfil, Antimônio, Bateria, BOPP, Caco vidro, Cobre Misto, Eletrônico, Fio, Fundido, Inox, Inox Ferroso, Mangueira,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PS, PVC, Ráfia, Reator Motor, Rejeito, Revista, Sucata Ferro, Sucata metálica, Sucata plástico, Embalagem  longa vida, Vidro</t>
  </si>
  <si>
    <t>coleta conteinerizada</t>
  </si>
  <si>
    <t>Álcool, Sabão em pó, Outro</t>
  </si>
  <si>
    <t>Alumínio, Alumínio Lata, Alumínio Panela, Alumínio Perfil, Antimônio, Bateria, Cobre Misto, Fio, Fundido, Inox, Inox Ferroso, Metal, Misto/Desmanche eletrônico, Óleo usado, Papel Branco, Papelão, Parachoque veículo, PEAD branco/leitoso, PEAD caixa, PEAD Colorida, PEAD Garrafinha, PEBD Colorido, PEBD Lona Preta, PET Bandeja, PET, PET Azul, PET Branca, PET Colorida, PET Cristal, PET Óleo, PET Verde, Plástico filme, PP, PP Balde Bacia Branco, PP Balde Bacia Misto, PP branco, PP colorido, PP Garrafinha, PP Margarina, PP preto, PVC, Reator Motor, Sucata Ferro, Sucata metálica, Embalagem  longa vida</t>
  </si>
  <si>
    <t>Alumínio, Alumínio Lata, Alumínio Panela, Caco vidro, EPS/Isopor, Fio, Papel, Papel Branco, Papel Cimento, Papel colorido, Papel Misto,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PVC, Ráfia, Revista, Vidro</t>
  </si>
  <si>
    <t>Presidente, Vice-Presidente, Tesoureiro(a), Secretário (a), Vice-Secretário (a), Conselho Fiscal, Outros membros</t>
  </si>
  <si>
    <t>LAS - 252271-R1 (vigente)</t>
  </si>
  <si>
    <t>Alumínio, Alumínio Duro, Alumínio Lata, Alumínio Mista, Alumínio Panela, Alumínio Perfil, Antimônio, Bateria, Caco vidro, Cobre Misto, Fio, Inox, Inox Ferroso, Papel, Papel Branco, Papel Cimento, Papel colorido, Papel Misto, Papel Terceira, Papelão, PEAD branco/leitoso, PEAD caixa, PEAD Colorida, PEAD Garrafinha, PEBD Colorido, PEBD Cristal, PEBD Lona Preta, PET, PET Azul, PET Branca, PET Colorida, PET Cristal, PET Óleo, PET Verde, PP, PP Balde Bacia Branco, PP Balde Bacia Misto, PP branco, PP colorido, PP Garrafinha, PP Margarina, PP Mineral, PP misto, PP preto, PP Tampinha, PVC, Ráfia, Revista, Sucata Ferro, Sucata metálica, Embalagem  longa vida, Vidro</t>
  </si>
  <si>
    <t>Alumínio, Alumínio Duro, Alumínio Lata, Alumínio Mista, Alumínio Panela, Alumínio Perfil, Caco vidro, Cobre Misto, Eletrônico, Inox, Inox Ferroso, Mangueira, Metal, Misto/Desmanche eletrônico,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PVC, Reator Motor, Sucata Ferro, Sucata metálica, Sucata plástico, Embalagem  longa vida, Vidro</t>
  </si>
  <si>
    <t>Cadastro/Cartão CNPJ, Alvará de Funcionamento, Ata de Eleição da Diretoria Atualizada</t>
  </si>
  <si>
    <t>Vala do aterro sanitario</t>
  </si>
  <si>
    <t>Alumínio, BOPP, Caco vidro, Cobre Misto, Eletrônico, EPS/Isopor, Fio, Fundido, Metal, Óleo usado,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</si>
  <si>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LAS - 286046-R1</t>
  </si>
  <si>
    <t>Alumínio, Alumínio Lata, Alumínio Mista, Alumínio Panela, Alumínio Perfil, BOPP, EPS/Isopor, Fio, Fundido, Inox, Mangueira, Marmitex, Metal, Misto/Desmanche eletrônico, Papel, Papel Branco, Papel Cimento, Papel colorido, Papel Misto, Papelão, Parachoque veículo, PEAD branco/leitoso, PEAD caixa, PEAD Colorida, PEAD Garrafinha, PEBD Colorido, PEBD Cristal, PET Bandeja, PET, PET Azul, PET Branca, PET Colorida, PET Cristal,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</si>
  <si>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É destinado como rejeito, em torno de 240 toneladas.</t>
  </si>
  <si>
    <t>Não é feita compostagem.</t>
  </si>
  <si>
    <t>Alumínio, Alumínio Duro, Alumínio Lata, Alumínio Mista, Alumínio Panela, Alumínio Perfil, Bateria, BOPP, Caco vidro, Cobre Misto, Eletrônico, Fio, Fundido, Inox, Inox Ferroso, Mangueira, Metal, Misto/Desmanche eletrônico, Óleo usado, Papel, Papel Branco, Papel Cimento, Papel colorido, Papel Misto, Papelão, Parachoque veículo, PEAD branco/leitoso, PEAD caixa, PEAD Colorida, PEAD Garrafinha, PEBD Colorido, PEBD Cristal, PEBD Lona Preta, PET, PET Cristal, PET Verde, Plástico filme, PP, PP Balde Bacia Branco, PP Balde Bacia Misto, PP Margarina, PP preto, PS copinho, PVC, Ráfia, Reator Motor, Revista, Sucata Ferro, Embalagem  longa vida, Vidro</t>
  </si>
  <si>
    <t xml:space="preserve">Não faz compostagem </t>
  </si>
  <si>
    <t>Expedição de rejeitos com frequência adequada, Armadilhas para ratos, Inseticidas</t>
  </si>
  <si>
    <t>LAS 336851</t>
  </si>
  <si>
    <t>Alumínio, Alumínio Duro, Alumínio Lata, Alumínio Mista, Alumínio Panela, Alumínio Perfil, Antimônio, Bateria,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Vidro</t>
  </si>
  <si>
    <t>Pilhas e Baterias, Embalagens de óleo lubrificante, Eletroeletrônicos, Outros</t>
  </si>
  <si>
    <t>Botina</t>
  </si>
  <si>
    <t>Pátio sem cobertura, Barracão parcialmente coberto, Sobre um piso sem impermeabilização</t>
  </si>
  <si>
    <t>Alumínio, Alumínio Lata, Alumínio Panela, Caco vidro, Cobre Misto, Eletrônico, Inox, Inox Ferroso, Mangueira, Metal, Óleo usado, Papel, Papel Branco, Papel Cimento, Papel colorido, Papel Misto, Papelão, PEAD branco/leitoso, PEAD Colorida, PEAD Garrafinha, PEBD Colorido, PEBD Cristal, PEBD Lona Preta, PET, PET Colorida, PET Cristal, PET Óleo, PET Verde, Plástico filme, PP, PP Balde Bacia Branco, PP Balde Bacia Misto, PP branco, PP colorido, PP Garrafinha, PP Margarina, PS, PS copinho, PVC, Ráfia, Revista, Sucata Ferro, Sucata metálica, Embalagem  longa vida, Vidro</t>
  </si>
  <si>
    <t>LOA 2126</t>
  </si>
  <si>
    <t>Alumínio, Alumínio Duro, Alumínio Lata, Alumínio Mista, Alumínio Panela, Alumínio Perfil, Antimônio, BOPP, Caco vidro, Cobre Misto, Eletrônico, EPS/Isopor, Fio, Fundido, Inox, Inox Ferroso,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</si>
  <si>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Contrato de Prestação de Serviços com o Município, Termo de Cooperação ou outro com o Município com repasse de recurso, Termo de Cooperação Técnica com Entidade Gestora</t>
  </si>
  <si>
    <t>0, 4</t>
  </si>
  <si>
    <t>1720.64</t>
  </si>
  <si>
    <t>Fossa séptica + sumidouro (infiltração no solo), Rede coletora de esgoto</t>
  </si>
  <si>
    <t>licença Ambiental simplifica 335476-R1</t>
  </si>
  <si>
    <t>Alumínio, Alumínio Duro, Alumínio Lata, Alumínio Mista, Alumínio Panela, Alumínio Perfil, Caco vidro, Cobre Misto, Fio, Papel, Papel Branco, Papel Cimento, Papel colorido, Papel Misto, Papel Terceira, Papelão, PEAD branco/leitoso, PEAD caixa, PEAD Colorida, PEAD Garrafinha, PEBD Cristal, PEBD Lona Preta, PET Branca, PET Colorida, PET Cristal, PET Verde, Plástico filme, PP, PP Balde Bacia Branco, PP Balde Bacia Misto, PP branco, PP colorido, PP Garrafinha, PP Margarina, PP misto, PP preto, PVC, Ráfia, Revista, Sucata Ferro, Sucata metálica, Vidro</t>
  </si>
  <si>
    <t>Presidente, Vice-Presidente, Tesoureiro(a), Vice-Tesoureiro(a), Secretário (a), Vice-Secretário (a), Outros membros</t>
  </si>
  <si>
    <t>Vedação de frestas e buracos, Expedição de rejeitos com frequência adequada, Inseticidas, Higienização periódica da infraestrutura</t>
  </si>
  <si>
    <t>IAP- 257237</t>
  </si>
  <si>
    <t>Alumínio, Alumínio Duro, Alumínio Lata, Alumínio Mista, Alumínio Panela, Antimônio, Bateria, BOPP, Cobre Misto, Eletrônico, Fio, Fundido, Inox, Inox Ferroso, Metal, Óleo usado, Papel, Papel Branco, Papel Cimento, Papel colorido, Papel Misto, Papel Terceira, Papelão, Parachoque veículo, PEAD branco/leitoso, PEAD caixa, PEAD Colorida, PEAD Garrafinha, PEBD Colorido, PEBD Cristal, PET, PET Azul, PET Branca, PET Colorida, PET Cristal, PET miolo, PET Óleo, PET Verde, Plástico filme, PP, PP Balde Bacia Branco, PP Balde Bacia Misto, PP branco, PP colorido, PP Garrafinha, PP Margarina, PP Mineral, PP misto, PP preto, PVC, Ráfia, Reator Motor, Rejeito, Revista, Sucata Ferro, Sucata metálica, Sucata plástico, Embalagem  longa vida, Vidro</t>
  </si>
  <si>
    <t>Embalagens de óleo lubrificante, Eletroeletrônicos, Pneus inservíveis, Móveis e colchões, Vestuário, Outros</t>
  </si>
  <si>
    <t>Dedetização periódica, Armadilhas para ratos, Inseticidas, Higienização periódica da infraestrutura</t>
  </si>
  <si>
    <t>simplificada 227392444</t>
  </si>
  <si>
    <t>Alumínio, Alumínio Duro, Alumínio Lata, Alumínio Mista, Alumínio Panela, Alumínio Perfil, Caco vidro, Cobre Misto, Eletrônico, Fio, Inox, Inox Ferroso, Mangueira,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 TODOS MATERIAIS RECICLAVEIS</t>
  </si>
  <si>
    <t>EMPRESA PRIVADA SELECT</t>
  </si>
  <si>
    <t>Alumínio, Alumínio Lata, Alumínio Panela, Alumínio Perfil, Antimônio, Caco vidro, Cobre Misto, Fio, Inox, Mangueira, Metal, Papel, Papel Branco, Papel Cimento, Papel colorido, Papel Misto, Papelão, Parachoque veículo, PEAD branco/leitoso, PEAD caixa, PEAD Colorida, PEAD Garrafinha, PEBD Colorido, PEBD Cristal, PEBD Lona Preta, PET, PET Branca, PET Colorida, PET Óleo, PET Verde, PP, PP Balde Bacia Branco, PP Balde Bacia Misto, PP branco, PP colorido, PP Garrafinha, PP Margarina, PP preto, PP Tampinha, PS copinho, PVC, Ráfia, Revista, Sucata Ferro, Sucata plástico, Vidro</t>
  </si>
  <si>
    <t>Presidente, Vice-Presidente, Conselho Fiscal</t>
  </si>
  <si>
    <t>Alumínio, Alumínio Duro, Alumínio Lata, Alumínio Mista, Alumínio Panela, Caco vidro, Cobre Misto, Eletrônico, EPS/Isopor, Fio, Mangueira, Marmitex, Metal, Misto/Desmanche eletrônico, Papel, Papel Branco, Papel Cimento, Papel colorido, Papel Misto, Papel Terceira, Papelão, PEAD branco/leitoso, PEAD caixa, PEAD Garrafinha, PET Bandeja, PET, PET Azul, PET Colorida, PET Cristal, PET miolo, PET Óleo, PET Verde, Plástico filme, PP Balde Bacia Misto, PP Garrafinha, PP Margarina, PP Mineral, PP Tampinha, PVC, Revista, Sucata Ferro, Sucata metálica, Sucata plástico, Vidro</t>
  </si>
  <si>
    <t>PROTOCOLO 21.179.087-3 SIMPLIFICADO DOCUMENTO 317887-3 VÁLIDO 27/03/2028</t>
  </si>
  <si>
    <t>Alumínio, Alumínio Duro, Alumínio Lata, Alumínio Mista, Alumínio Panela, Alumínio Perfil, Antimônio, Bateria,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preto, PP Tampinha, PS, PVC, Ráfia, Reator Motor, Rejeito, Revista, Sucata Ferro, Sucata metálica, Sucata plástico, Embalagem  longa vida, Vidro</t>
  </si>
  <si>
    <t>Papel misto ou de terceira</t>
  </si>
  <si>
    <t>LEVADO NO MESMO DIA</t>
  </si>
  <si>
    <t>Água sanitária, Detergente, Sabão em barra, Limpadores multiuso</t>
  </si>
  <si>
    <t>LAS 174079</t>
  </si>
  <si>
    <t>Alumínio, Alumínio Duro, Alumínio Lata, Alumínio Mista, Alumínio Panela, Alumínio Perfil, Bateria, BOPP, Caco vidro, Cobre Misto, Eletrônico, EPS/Isopor, Fio, Fundido, Inox, Mangueira, Metal, Óleo usado, Papel, Papel Branco, Papel Cimento, Papel colorido, Papel Misto, Papel Terceira,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</si>
  <si>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Não é realizada nenhuma capacitação, Outros</t>
  </si>
  <si>
    <t>Inscrição Municipal, Comprovante da Conta Bancária, Estatuto Social, Ata de Eleição da Diretoria Atualizada, Licença Ambiental</t>
  </si>
  <si>
    <t>Água sanitária, Detergente, Sabão em barra, Outro</t>
  </si>
  <si>
    <t>Vedação de frestas e buracos, Expedição de rejeitos com frequência adequada, Inseticidas, Higienização periódica da infraestrutura, Outro</t>
  </si>
  <si>
    <t>LAS 347206</t>
  </si>
  <si>
    <t>Alumínio, Alumínio Lata, Cobre Misto, Eletrônico, Inox, Papel, Papel Misto, Papelão, PEAD branco/leitoso, PEBD Colorido, PEBD Cristal, PET, PET Colorida, PET Cristal, PET Verde, Plástico filme, PP Balde Bacia Branco, PP Balde Bacia Misto, PP branco, PP colorido, PP Garrafinha, PP misto, PP preto, PP Tampinha, PS, PVC, Ráfia, Revista, Sucata metálica, Embalagem  longa vida, Vidro</t>
  </si>
  <si>
    <t>Alumínio, Metal, Papel, PET, Embalagem  longa vida</t>
  </si>
  <si>
    <t xml:space="preserve">Não, somente cooperados/associados, </t>
  </si>
  <si>
    <t>Presidente, Vice-Presidente, Tesoureiro(a), Secretário (a), Outros membros</t>
  </si>
  <si>
    <t>CDLAE Nº 254489</t>
  </si>
  <si>
    <t>Alumínio Lata, Marmitex, Metal, Orgânicos, Papel, Papel Branco, Papel Misto, Papelão, Parachoque veículo, PEAD branco/leitoso, PEAD caixa, PEAD Colorida, PEAD Garrafinha, PET, PP, Rejeito, Embalagem  longa vida, Vidro</t>
  </si>
  <si>
    <t>NÃO PRODUZ ESGOTO</t>
  </si>
  <si>
    <t>19.855.094-9</t>
  </si>
  <si>
    <t>Alumínio, Alumínio Duro, Alumínio Lata, Alumínio Mista, Alumínio Panela, Alumínio Perfil, Antimônio, BOPP, Caco vidro, Cobre Misto, Eletrônico, EPS/Isopor, Fio, Fundido, Inox, Inox Ferroso, Mangueira, Marmitex, Metal, Misto/Desmanche eletrônico, Papel, Papel Branco, Papel colorido, Papel Misto, Papel Terceira, Papelão, Parachoque veículo, PET Bandeja, PET, PET Azul, PET Branca, PET Colorida, PET Cristal, PET miolo, PET Óleo, PET Verde, Plástico filme, PP Balde Bacia Branco, PP Balde Bacia Misto, PP branco, PP colorido, PP Garrafinha, PP Margarina, PP Mineral, PP misto, PP preto, PP Tampinha, PS, PS copinho, PVC, Ráfia, Reator Motor, Revista, Sucata Ferro, Sucata metálica, Sucata plástico, Embalagem  longa vida, Vidro</t>
  </si>
  <si>
    <t>PETg (Bandeja), Papel misto ou de terceira</t>
  </si>
  <si>
    <t>NAO FOI GERADO</t>
  </si>
  <si>
    <t>LAS - 265393 - R1</t>
  </si>
  <si>
    <t>Alumínio, Alumínio Duro, Alumínio Lata, Alumínio Mista, Alumínio Panela, Alumínio Perfil, Antimônio, Bateria, Caco vidro, Cobre Misto, Eletrônico, EPS/Isopor, Fio, Fundido, Inox, Inox Ferroso, Mangueira, Marmitex, Metal, Óleo usado, Orgânicos,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</si>
  <si>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contador</t>
  </si>
  <si>
    <t>Não existe compostagem na associação. A quantidade de resíduos orgânciso é mínima.</t>
  </si>
  <si>
    <t>8h/ dia, Acima de 8h/ dia</t>
  </si>
  <si>
    <t>Não existe compostagem na associação.</t>
  </si>
  <si>
    <t>A quantidade é mínima. Segue com o rejeito.</t>
  </si>
  <si>
    <t>LAS - 313681- R1</t>
  </si>
  <si>
    <t>Alumínio, Alumínio Duro, Alumínio Lata, Alumínio Mista, Alumínio Panela, Alumínio Perfil, Antimônio, Bateria, Caco vidro, Cobre Misto, Eletrônico, EPS/Isopor, Fio, Fundido, Inox, Inox Ferroso, Mangueira, Marmitex, Metal, Óleo usado, Orgânicos,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t>
  </si>
  <si>
    <t>Não, somente cooperados/associados, assessor administrativo e contabilidade</t>
  </si>
  <si>
    <t>A QUANTIDADE DE RESÍDUO ORGANICO É MINIMA</t>
  </si>
  <si>
    <t>Venda para empresa privada, ITAMBÉ JUNTO COM REJEITO</t>
  </si>
  <si>
    <t>TODOS OS DIAS TEMOS REJEITO, MAS A QUANTIDADE DE ORGÂNICO É PEQUENA</t>
  </si>
  <si>
    <t>Residências, Comércios, Indústrias</t>
  </si>
  <si>
    <t>Las 237892062</t>
  </si>
  <si>
    <t>Alumínio, Alumínio Duro, Alumínio Lata, Alumínio Mista, Alumínio Panela, Alumínio Perfil, Antimônio, Bateria, Caco vidro, Cobre Misto, Eletrônico, Fio, Fundido, Inox, Inox Ferroso,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 I</t>
  </si>
  <si>
    <t>15.00</t>
  </si>
  <si>
    <t>96.00</t>
  </si>
  <si>
    <t>LAS nº 279068</t>
  </si>
  <si>
    <t>Alumínio, Alumínio Duro, Alumínio Lata, Alumínio Mista, Alumínio Panela, Alumínio Perfil, Antimônio, Bateria, BOPP, Caco vidro, Cobre Misto, Eletrônico, EPS/Isopor, Fio, Fundido, Inox, Inox Ferroso, Metal, Misto/Desmanche eletrônico, Papel, Papel Branco, Papel Cimento, Papel colorido, Papel Misto,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</si>
  <si>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Treinamento sobre notas fiscais</t>
  </si>
  <si>
    <t>Aterro Controlado.</t>
  </si>
  <si>
    <t>1 vez por dia.</t>
  </si>
  <si>
    <t>23.732.891-4</t>
  </si>
  <si>
    <t>Sobre um piso totalmente impermeabilizado</t>
  </si>
  <si>
    <t>Alumínio, Alumínio Duro, Alumínio Lata, Alumínio Panela, Bateria, Caco vidro, Cobre Misto, Eletrônico, Metal, Papel, Papel Branco, Papel Cimento, Papel colorido, Papel Misto, Papel Terceira, Papelão, Parachoque veículo, PEAD branco/leitoso, PEAD caixa, PEAD Colorida, PEAD Garrafinha, PEBD Colorido, PEBD Cristal, PEBD Lona Preta, PET, PET Azul, PET Branca, PET Colorida, PET Cristal, PET Óleo, PET Verde, PP, PP Balde Bacia Branco, PP Balde Bacia Misto, PP branco, PP colorido, PS, PS copinho, PVC, Ráfia, Rejeito, Revista, Sucata Ferro, Embalagem  longa vida, Vidro</t>
  </si>
  <si>
    <t>Treinamentos sobre triagem e seleção dos materiais, Treinamentos sobre manuseio da prensa, Treinamento sobre Marketing e Comunicação, Treinamento sobre Saúde, Outros</t>
  </si>
  <si>
    <t>Transbordo - prefeitura</t>
  </si>
  <si>
    <t>Diario</t>
  </si>
  <si>
    <t>Alumínio, Alumínio Duro, Alumínio Lata, Alumínio Mista, Alumínio Panela, Alumínio Perfil, Bateria, Caco vidro, Cobre Misto, Inox, Metal, Papel, Papel Branco, Papel Cimento, Papel colorido, Papel Misto, Papelão, PEAD branco/leitoso, PEAD caixa, PEAD Colorida, PEAD Garrafinha, PEBD Colorido, PEBD Cristal, PEBD Lona Preta, PET, PET Azul, PET Cristal, PET Óleo, PET Verde, PP Balde Bacia Branco, PP Garrafinha, PP Margarina, PP Mineral, PVC, Ráfia, Revista, Sucata Ferro, Sucata metálica, Sucata plástico, Embalagem  longa vida, Vidro</t>
  </si>
  <si>
    <t>motorista cedido pela prefeitura</t>
  </si>
  <si>
    <t>Presidente, Vice-Presidente, Tesoureiro(a), Vice-Tesoureiro(a)</t>
  </si>
  <si>
    <t>Luvas, Avental, Uniforme</t>
  </si>
  <si>
    <t>DLAE 176465</t>
  </si>
  <si>
    <t>Alumínio Duro, Alumínio Lata, Caco vidro, Cobre Misto, Eletrônico, Metal, Misto/Desmanche eletrônico, Papel Branco, Papel Terceira, Papelão, PEAD branco/leitoso, PEAD Colorida, PEBD Colorido, PEBD Cristal, PEBD Lona Preta, PET Branca, PET Óleo, PET Verde, Plástico filme, PP Balde Bacia Branco, PP Balde Bacia Misto, PP branco, PP colorido, PP preto, PP Tampinha, PS, PVC, Ráfia, Rejeito, Sucata Ferro, Embalagem  longa vida, Vidro</t>
  </si>
  <si>
    <t>Alumínio, Alumínio Duro, Alumínio Lata, Alumínio Mista, Alumínio Panela, Alumínio Perfil, Antimônio, Bateria, BOPP, Caco vidro, Cobre Misto, Eletrônico, Fio, Fundido, Inox, Inox Ferroso, Mangueira,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</si>
  <si>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Por meio do município, Por meio de entidades gestoras, Por meio de outra instituição, ONG ou por projeto/Edital</t>
  </si>
  <si>
    <t xml:space="preserve"> nao gera</t>
  </si>
  <si>
    <t>sem licença no momento</t>
  </si>
  <si>
    <t>Alumínio, Alumínio Duro, Alumínio Lata, Alumínio Panela, Bateria, Cobre Misto, Eletrônico, Metal, Óleo usado, Papel, Papel Branco, Papel Misto, Papelão, Parachoque veículo, PEAD branco/leitoso, PEAD caixa, PEAD Colorida, PEAD Garrafinha, PEBD Colorido, PEBD Cristal, PET, Plástico filme, PP misto, PVC, Ráfia, Sucata Ferro, Sucata metálica, Vidro</t>
  </si>
  <si>
    <t>Pneus inservíveis, Móveis e colchões, Outros</t>
  </si>
  <si>
    <t>EPS (Isopor), BOPP - Embalagens plásticas flexíveis e laminadas, Embalagem cartonada, Outros</t>
  </si>
  <si>
    <t>eventualmente reaproveitado como "lavagem" para porcos</t>
  </si>
  <si>
    <t>duas vezes por semana</t>
  </si>
  <si>
    <t>RLO - 219066 - R1</t>
  </si>
  <si>
    <t>325.85</t>
  </si>
  <si>
    <t>Alumínio, Alumínio Duro, Alumínio Lata, Alumínio Mista, Alumínio Panela, Alumínio Perfil, Antimônio, Bateria, BOPP, Caco vidro, Cobre Misto, Eletrônico, EPS/Isopor, Fio, Fundido, Inox, Inox Ferroso,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Revista, Sucata Ferro, Sucata metálica, Sucata plástico, Embalagem  longa vida, Vidro</t>
  </si>
  <si>
    <t>EPS (Isopor), BOPP - Embalagens plásticas flexíveis e laminadas, PETg (Bandeja), Embalagem cartonada, Outros</t>
  </si>
  <si>
    <t>Os materiais triados ficam em área totalmente coberta, Os materiais triados ficam em área parcialmente coberta, Os materiais triados ficam em área com piso parcialmente impermeabilizado</t>
  </si>
  <si>
    <t>255.63</t>
  </si>
  <si>
    <t>Inseticidas, Higienização periódica da infraestrutura, Outro</t>
  </si>
  <si>
    <t>LAS 166916</t>
  </si>
  <si>
    <t>3 vezes semanais</t>
  </si>
  <si>
    <t>Dedetização periódica, Expedição de rejeitos com frequência adequada, Outro</t>
  </si>
  <si>
    <t>Alumínio, Alumínio Duro, Alumínio Lata, Alumínio Mista, Alumínio Panela, Caco vidro, Cobre Misto, Eletrônico, EPS/Isopor, Fio, Inox, Inox Ferroso, Metal, Misto/Desmanche eletrônico, Papel, Papel Branco, Papel colorido, Papel Misto, Papel Terceira, Papelão,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Revista, Sucata Ferro, Sucata metálica, Embalagem  longa vida, Vidro</t>
  </si>
  <si>
    <t>Água sanitária, Álcool, Limpa vidros, Detergente, Sabão em pó</t>
  </si>
  <si>
    <t>Alumínio, Alumínio Duro, Alumínio Lata, Alumínio Mista, Alumínio Panela, Alumínio Perfil, Caco vidro, Cobre Misto, Inox, Inox Ferroso, Mangueira, Metal,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PS copinho, PVC, Ráfia, Revista, Sucata Ferro, Sucata metálica, Sucata plástico, Embalagem  longa vida, Vidro</t>
  </si>
  <si>
    <t>Limpadores multiuso, Outro</t>
  </si>
  <si>
    <t>LAS - 186274</t>
  </si>
  <si>
    <t>Instituto Paranaense de Reciclagem - InPAR, Instituto de Logística Reversa - ILOG</t>
  </si>
  <si>
    <t>Alumínio, Bateria, Caco vidro, Cobre Misto, Eletrônico, EPS/Isopor, Fio, Fundido, Inox, Mangueira, Marmitex, Metal, Misto/Desmanche eletrônico, Orgânicos, Papel, Papelão, Parachoque veículo, PET, PP, PS, PVC, Sucata Ferro, Vidro</t>
  </si>
  <si>
    <t>Cadastro/Cartão CNPJ, Alvará de Funcionamento, Comprovante da Conta Bancária, Licença Ambiental</t>
  </si>
  <si>
    <t>Por meio de entidades gestoras, Por outro meio</t>
  </si>
  <si>
    <t>LAS: 170.619</t>
  </si>
  <si>
    <t>Alumínio, Alumínio Duro, Alumínio Lata, Alumínio Panela, Alumínio Perfil, Caco vidro, Cobre Misto, Eletrônico, EPS/Isopor, Fio, Fundido, Inox, Mangueira, Metal,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Embalagem  longa vida, Vidro</t>
  </si>
  <si>
    <t>Sn</t>
  </si>
  <si>
    <t xml:space="preserve">Alumínio, Alumínio Duro, Alumínio Lata, Alumínio Mista, Alumínio Panela, Alumínio Perfil, Antimônio, Bateria, BOPP, Caco vidro, Cobre Misto, Eletrônico, EPS/Isopor, Fio, Fundido, Inox, Inox Ferroso, Mangueira, Marmitex, Metal, Misto/Desmanche eletrônico, Óleo usado, Orgânicos,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 </t>
  </si>
  <si>
    <t xml:space="preserve">Sim, funcionários CLT ou Pessoa Jurídica, Gestor via convênio </t>
  </si>
  <si>
    <t>A céu aberto, Dentro do barracão em uma moega</t>
  </si>
  <si>
    <t>Alumínio, Alumínio Duro, Alumínio Lata, Alumínio Panela, Alumínio Perfil, Antimônio, Bateria, Caco vidro, Cobre Misto, Eletrônico, Inox, Inox Ferroso, Metal, Papel, Papel Branco, Papel Cimento, Papel Misto, Papel Terceira, Papelão, PEAD branco/leitoso, PEAD caixa, PEAD Colorida, PEBD Colorido, PEBD Cristal, PEBD Lona Preta, PET, PET Branca, PET Colorida, PET Cristal, PET miolo, PET Verde, Plástico filme, PP, PP branco, PP colorido, PP preto, PP Tampinha, PS, PS copinho, PVC, Ráfia, Reator Motor, Rejeito, Sucata Ferro, Vidro</t>
  </si>
  <si>
    <t>Cadastro/Cartão CNPJ, Inscrição Estadual, Certidão de Débitos relativos a créditos tributários federais e à dívida ativa da união, Certidão negativa de débitos trabalhistas, Comprovante da Conta Bancária, Estatuto Social, Ata de Eleição da Diretoria Atualizada, Termo ou Auto de Vistoria do Corpo de Bombeiros</t>
  </si>
  <si>
    <t>Alumínio, Alumínio Duro, Alumínio Lata, Alumínio Panela, Alumínio Perfil, Bateria, Caco vidro, Cobre Misto, Eletrônico, Inox, Inox Ferroso, Metal, Papel colorido, Papel Misto, Papel Terceira, Papelão, PEAD branco/leitoso, PEAD caixa, PEAD Colorida, PEBD Colorido, PEBD Cristal, PEBD Lona Preta, PET, PET Branca, PET Colorida, PET Cristal, PET Óleo, Plástico filme, PP, PP Balde Bacia Branco, PP Balde Bacia Misto, PP branco, PP colorido, PP preto, PS copinho, PVC, Ráfia, Reator Motor, Rejeito, Sucata Ferro, Embalagem  longa vida, Vidro</t>
  </si>
  <si>
    <t>LAS-180877</t>
  </si>
  <si>
    <t xml:space="preserve">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Bandeja, PET, PET Azul, PET Branca, PET Colorida, PET Cristal, PET miolo, PET Óleo, PET Verde, Plástico filme, PP, PP Balde Bacia Branco, PP Balde Bacia Misto, PP branco, PP colorido, PP Garrafinha, PP Margarina, PP Mineral, PP misto, PP preto, PP Tampinha, PS, PS copinho, PVC, Ráfia, Reator Motor, Rejeito, Revista, Sucata Ferro, Sucata metálica, Sucata plástico, Embalagem  longa vida, Vidro, APARECEM POR LÁ MATERIAIS NÃO RECICLAVEIS: SERINGAS, FRALDAS, ABSORVENTES ETC. </t>
  </si>
  <si>
    <t>Pilhas e Baterias, Medicamentos e perfurocortantes, Lâmpadas fluorescentes, Eletroeletrônicos, Pneus inservíveis</t>
  </si>
  <si>
    <t>EPS (Isopor), BOPP - Embalagens plásticas flexíveis e laminadas, Embalagem cartonada</t>
  </si>
  <si>
    <t>Cadastro/Cartão CNPJ, Alvará de Funcionamento, Inscrição Municipal, Comprovante da Conta Bancária, Estatuto Social, Ata de Eleição da Diretoria Atualizada, Termo ou Auto de Vistoria do Corpo de Bombeiros, Licença Ambiental</t>
  </si>
  <si>
    <t>LAS - 181482</t>
  </si>
  <si>
    <t>Alumínio, Alumínio Duro, Alumínio Lata, Alumínio Mista, Alumínio Panela, Alumínio Perfil, Cobre Misto, EPS/Isopor, Inox Ferroso, Papel, Papel Branco, Papel Cimento, Papel colorido, Papel Misto, Papel Terceira, Papelão, PEAD Garrafinha, PEBD Colorido, PEBD Cristal, PEBD Lona Preta, PET Bandeja, PET, PET Azul, PET Branca, PET Colorida, PET Cristal, PET miolo, PET Óleo, PET Verde, PP Balde Bacia Branco, PP Balde Bacia Misto, PP branco, PP colorido, PP Garrafinha, PP Margarina, PP Mineral, PP misto, PP preto, PP Tampinha, Sucata Ferro, Embalagem  longa vida, Vidro</t>
  </si>
  <si>
    <t>Programa de Controle Médico de Saúde Ocupacional - PCMSO, Implementação da Comissão Interna de Presenção de Acidentes - CIPA</t>
  </si>
  <si>
    <t>Vedação de frestas e buracos, Dedetização periódica, Expedição de rejeitos com frequência adequada</t>
  </si>
  <si>
    <t>RLO 161994-R1</t>
  </si>
  <si>
    <t>1222.22</t>
  </si>
  <si>
    <t xml:space="preserve">Alumínio, Alumínio Duro, Alumínio Lata, Alumínio Mista, Alumínio Panela, Alumínio Perfil, Antimônio, Bateria, Caco vidro, Cobre Misto, Eletrônico, Fio, Fundido, Mangueira, Metal, Misto/Desmanche eletrônico, Óleo usado, Orgânicos, Papel, Papel Branco, Papel Cimento, Papel colorido, Papel Misto, Papelão, PEAD branco/leitoso, PEAD Colorida, PEAD Garrafinha, PEBD Colorido, PEBD Cristal, PEBD Lona Preta, PET Bandeja, PET, PET Azul, PET Branca, PET Colorida, PET Cristal, PET Óleo, PET Verde, PP Balde Bacia Branco, PP Balde Bacia Misto, PP branco, PP colorido, PP Garrafinha, PP Margarina, PP Mineral, PP Tampinha, PS copinho, PVC, Ráfia, Revista, Sucata Ferro, Sucata metálica, Embalagem  longa vida, Vidro, MOTORES, </t>
  </si>
  <si>
    <t>75.00</t>
  </si>
  <si>
    <t>EPS (Isopor), PETg (Bandeja), Outros</t>
  </si>
  <si>
    <t>ADMINISTRATIVO CONTRATO</t>
  </si>
  <si>
    <t>Legislação trabalhista de prevenção de doenças e acidentes ocupacionais (exemplo: NR7, NR9, NR15), Programa de Prevenção de Riscos Ambientais - PPRA ou Plano de Gerenciamento de Riscos - PGR, Programa de Controle Médico de Saúde Ocupacional - PCMSO, Outra</t>
  </si>
  <si>
    <t>1, 3</t>
  </si>
  <si>
    <t>COMERCIALIZADO PARA PREFEITURA</t>
  </si>
  <si>
    <t xml:space="preserve">É REALIZADO A COMPOSTAGEM NOS DIAS QUE RECEBE O ORGÂNICO </t>
  </si>
  <si>
    <t xml:space="preserve">Fossa séptica + sumidouro (infiltração no solo), FOSSA NEGRA COM RVESTIMENTO </t>
  </si>
  <si>
    <t>LO - 311828</t>
  </si>
  <si>
    <t>Alumínio, Alumínio Duro, Alumínio Lata, Alumínio Mista, Alumínio Panela, Alumínio Perfil, Antimônio, Bateria, BOPP, Caco vidro, Cobre Misto, Eletrônico, EPS/Isopor, Fio, Fundido, Inox, Inox Ferroso, Mangueira, Marmitex, Metal, Misto/Desmanche eletrônico, Óleo usado, Papel, Papel Branco, Papel Cimento, Papel colorido, Papel Misto, Papel Terceira, Papelão, Parachoque veículo, PEAD branco/leitoso, PEAD caixa, PEAD Colorida, PEAD Garrafinha, PEBD Colorido, PEBD Cristal, PEBD Lona Preta, PET, PET Azul, PET Branca, PET Colorida, PET Cristal, PET miolo, PET Óleo, PET Verde, Plástico filme, PP, PP Balde Bacia Branco, PP Balde Bacia Misto, PP branco, PP colorido, PP Garrafinha, PP Margarina, PP Mineral, PP misto, PP preto, PP Tampinha, PS copinho, PVC, Ráfia, Reator Motor, Revista, Sucata Ferro, Sucata metálica, Sucata plástico, Embalagem  longa vida, Vidro</t>
  </si>
  <si>
    <t>DESTINADO AO ATERRO SANITÁRIO</t>
  </si>
  <si>
    <t>Água sanitária, Detergente, Sabão em barra, Sabão em pó, Limpadores multiuso, Outro</t>
  </si>
  <si>
    <t>18.150.707-1</t>
  </si>
  <si>
    <t>Alumínio, Alumínio Panela, Alumínio Perfil, Bateria, BOPP, Caco vidro, Cobre Misto, Eletrônico, Fio, Fundido, Inox, Metal, Misto/Desmanche eletrônico, Óleo usado, Papel, Papel Branco, Papel Cimento, Papel colorido, Papel Misto, Papelão, Parachoque veículo, PEAD branco/leitoso, PEAD caixa, PEAD Colorida, PEAD Garrafinha, PEBD Colorido, PEBD Cristal, PEBD Lona Preta, PET, PET Azul, PET Branca, PET Colorida, PET Cristal, PET Óleo, PET Verde, Plástico filme, PP, PP Balde Bacia Branco, PP Balde Bacia Misto, PP branco, PP colorido, PP Garrafinha, PP Margarina, PP Mineral, PP misto, PP preto, PS copinho, PVC, Ráfia, Reator Motor, Rejeito, Revista, Sucata Ferro, Sucata metálica, Sucata plástico, Embalagem  longa vida, Vidro</t>
  </si>
  <si>
    <t>Treinamentos sobre manuseio da prensa, Treinamento sobre Marketing e Comunicação, Treinamento sobre Saúde</t>
  </si>
  <si>
    <t>Presidente, Tesoureiro(a), Secretário (a), Vice-Secretário (a), Conselho Fiscal</t>
  </si>
  <si>
    <t xml:space="preserve">a cada 2 dias </t>
  </si>
  <si>
    <t>LO Nº305570</t>
  </si>
  <si>
    <t>Sim, catadores autônomos externos, Sim, voluntários</t>
  </si>
  <si>
    <t>ATERRO SANITARIO DE REJEITOS</t>
  </si>
  <si>
    <t>228591 16015579-5</t>
  </si>
  <si>
    <t>Alumínio, Alumínio Panela, Bateria, Caco vidro, Cobre Misto, Eletrônico, EPS/Isopor, Metal, Papel, Papel Branco, Papel Cimento, Papel colorido, Papel Misto, Papel Terceira, Papelão, PEAD caixa, PEAD Colorida, PEAD Garrafinha, PEBD Lona Preta, PET Bandeja, PET, PET Azul, PET Branca, PET Colorida, PET Cristal, PET Óleo, PET Verde, Plástico filme, PP, PP Balde Bacia Branco, PP Balde Bacia Misto, PP branco, PP colorido, PP Garrafinha, PP Margarina, PP Mineral, PP misto, PP preto, PP Tampinha, PS, PVC, Ráfia, Revista, Sucata Ferro, Embalagem  longa vida, Vidro</t>
  </si>
  <si>
    <t xml:space="preserve">caminhão do lixo organico faz a retirada </t>
  </si>
  <si>
    <t>Alumínio, Alumínio Duro, Alumínio Lata, Alumínio Panela, Alumínio Perfil, Cobre Misto, Fio, Inox, Marmitex, Metal, Papel, Papel Branco, Papel Cimento, Papel colorido, Papel Misto, Papel Terceira, Papelão, Parachoque veículo, PEAD branco/leitoso, PEAD caixa, PEAD Colorida, PEBD Colorido, PEBD Cristal, PEBD Lona Preta, PET Bandeja, PET, PET Azul, PET Branca, PET Colorida, PET Cristal, PET miolo, PET Óleo, PET Verde, PP, PP Balde Bacia Branco, PP Balde Bacia Misto, PP branco, PP colorido, PP Garrafinha, PP Margarina, PP Mineral, PP misto, PP preto, PP Tampinha, PS, PS copinho, PVC, Ráfia, Reator Motor, Revista, Sucata Ferro, Sucata metálica, Sucata plástico, Embalagem  longa vida, Vidro</t>
  </si>
  <si>
    <t>Pilhas e Baterias, Lâmpadas fluorescentes, Embalagens de óleo lubrificante, Eletroeletrônicos, Pneus inservíveis, Móveis e colchões, Vestuário</t>
  </si>
  <si>
    <t>LAS 243979 SENDO RENOVADA</t>
  </si>
  <si>
    <t>Alumínio, Alumínio Duro, Alumínio Lata, Alumínio Mista, Alumínio Panela, Alumínio Perfil, BOPP, Cobre Misto, Eletrônico, EPS/Isopor, Fundido, Inox, Inox Ferroso, Mangueira, Metal, Papel, Papel Branco, Papel Cimento, Papel colorido, Papel Misto, PEAD branco/leitoso, PEAD Colorida, PEAD Garrafinha, PEBD Colorido, PEBD Cristal, PEBD Lona Preta, PET Bandeja, PET, PET Azul, PET Branca, PET Colorida, PET Cristal, PET miolo, PET Óleo, Plástico filme, PP, PP Balde Bacia Branco, PP Balde Bacia Misto, PP branco, PP colorido, PP Garrafinha, PP Margarina, PP Mineral, PVC, Ráfia, Sucata Ferro, Sucata metálica, Sucata plástico, Embalagem  longa vida, Vidro</t>
  </si>
  <si>
    <t>Cadastro/Cartão CNPJ, Alvará de Funcionamento, Inscrição Municipal, Inscrição Estadual, Certidão negativa de débitos trabalhistas, Comprovante da Conta Bancária, Estatuto Social, Ata de Eleição da Diretoria Atualizada, Termo ou Auto de Vistoria do Corpo de Bombeiros, Licença Ambiental</t>
  </si>
  <si>
    <t>Luvas, Máscara, Avental, Protetor auricular, Uniforme</t>
  </si>
  <si>
    <t>LAS -269030</t>
  </si>
  <si>
    <t>Alumínio, Alumínio Duro, Alumínio Lata, Alumínio Mista, Alumínio Panela, Alumínio Perfil, Caco vidro, Eletrônico, Fio, Fundido, Inox, Inox Ferroso, Metal, Óleo usado, Papel, Papel Branco, Papel Cimento, Papel colorido, Papel Misto, Papel Terceira, Papelão, PEAD branco/leitoso, PEAD caixa, PEAD Colorida, PEAD Garrafinha, PEBD Colorido, PEBD Cristal, PEBD Lona Preta, PET, PET Azul, PET Branca, PET Colorida, PET Cristal, PET miolo, PET Óleo, PET Verde, PP, PP Balde Bacia Branco, PP Balde Bacia Misto, PP branco, PP colorido, PP Garrafinha, PP Margarina, PP Mineral, PP misto, PP preto, PP Tampinha, PS, PVC, Ráfia, Reator Motor, Revista, Sucata Ferro, Sucata metálica, Sucata plástico, Embalagem  longa vida, Vidro</t>
  </si>
  <si>
    <t>Termo de Cooperação ou outro com o Município sem repasse de recurso, Comprovante de calibração das balanças</t>
  </si>
  <si>
    <t>Presidente, Vice-Presidente, Secretário (a), Conselho Fiscal, Outros membros</t>
  </si>
  <si>
    <t>Licença Sanitária 0010058</t>
  </si>
  <si>
    <t>Esteira Elétrica, Outra</t>
  </si>
  <si>
    <t>Cadastro/Cartão CNPJ, Alvará de Funcionamento, Inscrição Municipal, Comprovante da Conta Bancária, Estatuto Social, Ata de Eleição da Diretoria Atualizada, Termo ou Auto de Vistoria do Corpo de Bombeiros</t>
  </si>
  <si>
    <t>Contrato de Prestação de Serviços com o Município, Termo de Cooperação ou outro com o Município sem repasse de recurso, Comprovante de calibração das balanças, Termo de Cooperação Técnica com Entidade Gestora</t>
  </si>
  <si>
    <t>Luvas, Máscara, Uniforme, Óculos de proteção, Botina</t>
  </si>
  <si>
    <t>Água sanitária, Álcool, Limpa vidros, Detergente, Sabão em barra, Sabão em pó</t>
  </si>
  <si>
    <t>caixa coletora</t>
  </si>
  <si>
    <t>PROTOCOLO 195221774</t>
  </si>
  <si>
    <t>Alumínio, Alumínio Duro, Alumínio Lata, Alumínio Mista, Alumínio Panela, Alumínio Perfil, BOPP, Caco vidro, Cobre Misto, Eletrônico, EPS/Isopor, Fio, Fundido, Inox, Inox Ferroso, Mangueira, Marmitex, Metal, Misto/Desmanche eletrônico, Papel, Papel Branco, Papel Cimento, Papel colorido, Papel Misto, Papel Terceira, Papelão, Parachoque veículo, PEAD branco/leitoso, PEAD caixa, PEAD Colorida, PEAD Garrafinha, PEBD Colorido, PEBD Cristal, PEBD Lona Preta, PET Bandeja, PET, PET Azul, PET Branca, PET Colorida, PET Cristal, PET Óleo, PET Verde, Plástico filme, PP, PP Balde Bacia Branco, PP Balde Bacia Misto, PP branco, PP colorido, PP Garrafinha, PP Margarina, PP Mineral, PP misto, PP preto, PP Tampinha, PS, PS copinho, PVC, Ráfia, Rejeito, Revista, Sucata Ferro, Sucata metálica, Sucata plástico, Embalagem  longa vida, Vidro</t>
  </si>
  <si>
    <t>Treinamentos sobre triagem e seleção dos materiais, Treinamentos sobre manuseio da prensa, Treinamento sobre notas fiscais, Treinamento sobre Saúde</t>
  </si>
  <si>
    <t>Pilhas e Baterias, Medicamentos e perfurocortantes, Lâmpadas fluorescentes, Embalagens de óleo lubrificante, Eletroeletrônicos, Pneus inservíveis, Móveis e colchões, Vestuário, Outros</t>
  </si>
  <si>
    <t>Água sanitária, Detergente, Sabão em pó, Desengordurante, Limpadores multiuso</t>
  </si>
  <si>
    <t>Até 15.000</t>
  </si>
  <si>
    <t>Entre 100.000 e 200.000</t>
  </si>
  <si>
    <t>Entre 15.000 e 100.000</t>
  </si>
  <si>
    <t>Entre 200.000 e 500.000</t>
  </si>
  <si>
    <t>Acima de 500.000</t>
  </si>
  <si>
    <t>Não respondido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</si>
</sst>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quot;R$&quot;#,##0.00"/>
    <numFmt numFmtId="166" formatCode="#,##0.000"/>
    <numFmt numFmtId="168" formatCode="0.0000"/>
  </numFmts>
  <fonts count="9" x14ac:knownFonts="1">
    <font>
      <sz val="11"/>
      <color theme="1"/>
      <name val="Aptos Narrow"/>
      <family val="2"/>
      <scheme val="minor"/>
    </font>
    <font>
      <u/>
      <sz val="10"/>
      <color theme="10"/>
      <name val="Aptos Narrow"/>
      <family val="2"/>
      <scheme val="minor"/>
    </font>
    <font>
      <b/>
      <sz val="9"/>
      <color indexed="81"/>
      <name val="Segoe UI"/>
      <family val="2"/>
    </font>
    <font>
      <sz val="9"/>
      <color indexed="81"/>
      <name val="Segoe UI"/>
      <family val="2"/>
    </font>
    <font>
      <sz val="10"/>
      <color rgb="FF000000"/>
      <name val="Aptos Narrow"/>
      <family val="2"/>
      <scheme val="minor"/>
    </font>
    <font>
      <sz val="9"/>
      <color indexed="81"/>
      <name val="Segoe UI"/>
      <charset val="1"/>
    </font>
    <font>
      <sz val="10"/>
      <color theme="1"/>
      <name val="Arial"/>
      <family val="2"/>
    </font>
    <font>
      <u/>
      <sz val="10"/>
      <color rgb="FF0000FF"/>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1" fillId="0" borderId="0" applyNumberFormat="0" applyFill="0" applyBorder="0" applyAlignment="0" applyProtection="0"/>
    <xf numFmtId="0" fontId="4" fillId="0" borderId="0"/>
    <xf numFmtId="43" fontId="4" fillId="0" borderId="0" applyFont="0" applyFill="0" applyBorder="0" applyAlignment="0" applyProtection="0"/>
  </cellStyleXfs>
  <cellXfs count="21">
    <xf numFmtId="0" fontId="0" fillId="0" borderId="0" xfId="0"/>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xf numFmtId="3" fontId="6" fillId="0" borderId="0" xfId="0" applyNumberFormat="1" applyFont="1" applyFill="1" applyBorder="1" applyAlignment="1">
      <alignment vertical="center"/>
    </xf>
    <xf numFmtId="0" fontId="6" fillId="0" borderId="0" xfId="0" quotePrefix="1" applyFont="1" applyFill="1" applyBorder="1" applyAlignment="1">
      <alignment vertical="center"/>
    </xf>
    <xf numFmtId="4" fontId="6" fillId="0" borderId="0" xfId="0" applyNumberFormat="1" applyFont="1" applyFill="1" applyBorder="1" applyAlignment="1">
      <alignment vertical="center"/>
    </xf>
    <xf numFmtId="0" fontId="7" fillId="0" borderId="0" xfId="0" applyFont="1" applyFill="1" applyBorder="1" applyAlignment="1">
      <alignment vertical="center"/>
    </xf>
    <xf numFmtId="165" fontId="6" fillId="0" borderId="0" xfId="0" applyNumberFormat="1" applyFont="1" applyFill="1" applyBorder="1" applyAlignment="1">
      <alignment vertical="center"/>
    </xf>
    <xf numFmtId="0" fontId="6" fillId="0" borderId="0" xfId="0" applyFont="1" applyFill="1" applyBorder="1" applyAlignment="1">
      <alignment vertical="center" wrapText="1"/>
    </xf>
    <xf numFmtId="0" fontId="0" fillId="0" borderId="0" xfId="0" applyBorder="1"/>
    <xf numFmtId="0" fontId="0" fillId="0" borderId="0" xfId="0" applyBorder="1" applyAlignment="1">
      <alignment horizontal="center"/>
    </xf>
    <xf numFmtId="0" fontId="6" fillId="0" borderId="0" xfId="0" applyFont="1" applyFill="1" applyBorder="1" applyAlignment="1">
      <alignment horizontal="center" vertical="center" wrapText="1"/>
    </xf>
    <xf numFmtId="43" fontId="6" fillId="0" borderId="0" xfId="3" applyFont="1" applyFill="1" applyBorder="1" applyAlignment="1"/>
    <xf numFmtId="0" fontId="6" fillId="0" borderId="0"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6" fillId="0" borderId="0" xfId="2" applyFont="1" applyFill="1" applyBorder="1" applyAlignment="1">
      <alignment vertical="center"/>
    </xf>
    <xf numFmtId="166" fontId="8" fillId="0" borderId="0" xfId="2" applyNumberFormat="1" applyFont="1" applyFill="1" applyBorder="1" applyAlignment="1">
      <alignment horizontal="center" vertical="center" wrapText="1"/>
    </xf>
    <xf numFmtId="0" fontId="8" fillId="0" borderId="0" xfId="2" applyFont="1" applyFill="1" applyBorder="1"/>
    <xf numFmtId="168" fontId="8" fillId="0" borderId="0" xfId="2" applyNumberFormat="1" applyFont="1" applyFill="1" applyBorder="1"/>
    <xf numFmtId="1" fontId="8" fillId="0" borderId="0" xfId="2" applyNumberFormat="1" applyFont="1" applyFill="1" applyBorder="1"/>
  </cellXfs>
  <cellStyles count="4">
    <cellStyle name="Hiperlink 2" xfId="1" xr:uid="{EFB31CEE-4A5C-49C5-9C94-E042F865130B}"/>
    <cellStyle name="Normal" xfId="0" builtinId="0"/>
    <cellStyle name="Normal 2" xfId="2" xr:uid="{31FD1458-CEA5-40FA-9A29-6F303656D2EC}"/>
    <cellStyle name="Vírgula 2" xfId="3" xr:uid="{E09D4431-18ED-45FF-8FAE-B02D251481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E6" dT="2026-02-10T14:49:57.52" personId="{00000000-0000-0000-0000-000000000000}" id="{B9C35C31-7815-4427-80E6-AB31B70A018B}">
    <text>Como foi respondido que 0% da população era atendida por coleta indiferenciada, esse município foi contabilizado no item "não possui coleta indiferenciada" e não no item respondido</text>
  </threadedComment>
  <threadedComment ref="AA16" dT="2026-02-10T14:04:28.44" personId="{00000000-0000-0000-0000-000000000000}" id="{85E9DD2F-A1F1-49F7-8EF4-15729B790775}">
    <text>Como foi respondido que 0% da população era atendida por coleta indiferenciada, esse município foi contabilizado no item "não possui coleta indiferenciada" e não no item respondido</text>
  </threadedComment>
  <threadedComment ref="AE16" dT="2026-02-10T14:49:51.96" personId="{00000000-0000-0000-0000-000000000000}" id="{72E565B4-D880-4D59-956E-B6A42D76A0D9}">
    <text>Como foi respondido que 0% da população era atendida por coleta indiferenciada, esse município foi contabilizado no item "não possui coleta indiferenciada" e não no item respondido</text>
  </threadedComment>
  <threadedComment ref="AE25" dT="2026-02-10T14:49:45.88" personId="{00000000-0000-0000-0000-000000000000}" id="{8F9BA419-96C8-4AC6-915F-59DB2F67B942}">
    <text>Como foi respondido que 0% da população era atendida por coleta indiferenciada, esse município foi contabilizado no item "não possui coleta indiferenciada" e não no item respondido</text>
  </threadedComment>
  <threadedComment ref="AE33" dT="2026-02-10T14:39:07.92" personId="{00000000-0000-0000-0000-000000000000}" id="{B6432686-C2F2-4EDB-BFA3-DB10913DF071}">
    <text>Considerado que não possui coleta de indiferenciada</text>
  </threadedComment>
  <threadedComment ref="AE51" dT="2026-02-10T14:49:39.39" personId="{00000000-0000-0000-0000-000000000000}" id="{D32B539A-3906-4E96-BAB8-1D787C234127}">
    <text>Como foi respondido que 0% da população era atendida por coleta indiferenciada, esse município foi contabilizado no item "não possui coleta indiferenciada" e não no item respondido</text>
  </threadedComment>
  <threadedComment ref="AE53" dT="2026-02-10T14:39:11.72" personId="{00000000-0000-0000-0000-000000000000}" id="{DCF320B0-B68C-488C-8678-65554FA8A83C}">
    <text>Considerado que não possui coleta de indiferenciada</text>
  </threadedComment>
  <threadedComment ref="AE98" dT="2026-02-10T14:49:31.78" personId="{00000000-0000-0000-0000-000000000000}" id="{DD101BC6-293A-4D03-95F1-03D178F7ADDC}">
    <text>Como foi respondido que 0% da população era atendida por coleta indiferenciada, esse município foi contabilizado no item "não possui coleta indiferenciada" e não no item respondido</text>
  </threadedComment>
  <threadedComment ref="AE99" dT="2026-02-10T14:39:18.12" personId="{00000000-0000-0000-0000-000000000000}" id="{71A6F2CB-A028-44B7-9727-FAFDAD45C0FD}">
    <text>Considerado que não possui coleta de indiferenciada</text>
  </threadedComment>
  <threadedComment ref="AE107" dT="2026-02-10T14:49:22.54" personId="{00000000-0000-0000-0000-000000000000}" id="{F08AAEC4-4792-408E-ACA0-9D63CAA35ACF}">
    <text>Como foi respondido que 0% da população era atendida por coleta indiferenciada, esse município foi contabilizado no item "não possui coleta indiferenciada" e não no item respondido</text>
  </threadedComment>
  <threadedComment ref="AE109" dT="2026-02-10T14:49:15.14" personId="{00000000-0000-0000-0000-000000000000}" id="{DE2E6137-1CE6-4D58-B397-F3180FC153D6}">
    <text>Como foi respondido que 0% da população era atendida por coleta indiferenciada, esse município foi contabilizado no item "não possui coleta indiferenciada" e não no item respondido</text>
  </threadedComment>
  <threadedComment ref="AE137" dT="2026-02-10T14:49:05.19" personId="{00000000-0000-0000-0000-000000000000}" id="{A272C667-EFCC-45A3-AB77-B47B0E18EB16}">
    <text>Como foi respondido que 0% da população era atendida por coleta indiferenciada, esse município foi contabilizado no item "não possui coleta indiferenciada" e não no item respondido</text>
  </threadedComment>
  <threadedComment ref="AE142" dT="2026-02-10T14:39:21.24" personId="{00000000-0000-0000-0000-000000000000}" id="{AC8FA8E9-3B68-40D6-9BBD-1670FF4FEAFB}">
    <text>Considerado que não possui coleta de indiferenciada</text>
  </threadedComment>
  <threadedComment ref="AE146" dT="2026-02-10T14:48:58.90" personId="{00000000-0000-0000-0000-000000000000}" id="{D2491657-940B-44EC-850B-AA8E8A604D56}">
    <text>Como foi respondido que 0% da população era atendida por coleta indiferenciada, esse município foi contabilizado no item "não possui coleta indiferenciada" e não no item respondido</text>
  </threadedComment>
  <threadedComment ref="AE212" dT="2026-02-10T14:39:24.59" personId="{00000000-0000-0000-0000-000000000000}" id="{4F12C944-237D-420D-B909-80223FDD323B}">
    <text>Considerado que não possui coleta de indiferenciada</text>
  </threadedComment>
  <threadedComment ref="AE223" dT="2026-02-10T14:48:47.46" personId="{00000000-0000-0000-0000-000000000000}" id="{A360750C-8E09-42C5-9F8C-972E10893A50}">
    <text>Como foi respondido que 0% da população era atendida por coleta indiferenciada, esse município foi contabilizado no item "não possui coleta indiferenciada" e não no item respondido</text>
  </threadedComment>
  <threadedComment ref="AE228" dT="2026-02-10T14:48:39.92" personId="{00000000-0000-0000-0000-000000000000}" id="{89F1F1CE-7C1F-41CD-AA77-1D06135EC46F}">
    <text>Como foi respondido que 0% da população era atendida por coleta indiferenciada, esse município foi contabilizado no item "não possui coleta indiferenciada" e não no item respondido</text>
  </threadedComment>
  <threadedComment ref="AD245" dT="2026-02-10T14:45:10.78" personId="{00000000-0000-0000-0000-000000000000}" id="{A49A6923-7AE7-462C-A072-38A1B60A797F}">
    <text>Considerado 0%, uma vez que na pergunta seguinte é respondido que não há coleta indiferenciada na área rural</text>
  </threadedComment>
  <threadedComment ref="AA253" dT="2026-02-10T14:04:33.56" personId="{00000000-0000-0000-0000-000000000000}" id="{039BCD81-98C7-4084-A903-8D721F93F04C}">
    <text>Como foi respondido que 0% da população era atendida por coleta indiferenciada, esse município foi contabilizado no item "não possui coleta indiferenciada" e não no item respondido</text>
  </threadedComment>
  <threadedComment ref="AE253" dT="2026-02-10T14:48:30.48" personId="{00000000-0000-0000-0000-000000000000}" id="{D66808B1-6F15-4090-96D1-E8ABD2B44C71}">
    <text>Como foi respondido que 0% da população era atendida por coleta indiferenciada, esse município foi contabilizado no item "não possui coleta indiferenciada" e não no item respondido</text>
  </threadedComment>
  <threadedComment ref="Z264" dT="2026-02-10T14:14:09.69" personId="{00000000-0000-0000-0000-000000000000}" id="{2E949AF1-7A26-41E0-9032-203D56D84504}">
    <text>Considerado como 0%, uma vez que na pergunta seguinte foi informado que não há coleta indiferenciada, somente coletiva</text>
  </threadedComment>
  <threadedComment ref="AD264" dT="2026-02-10T14:45:14.57" personId="{00000000-0000-0000-0000-000000000000}" id="{0EB42107-70B2-4F6B-A40D-F89B413AE5CE}">
    <text>Considerado 0%, uma vez que na pergunta seguinte é respondido que não há coleta indiferenciada na área rural</text>
  </threadedComment>
  <threadedComment ref="AE268" dT="2026-02-10T14:48:22.35" personId="{00000000-0000-0000-0000-000000000000}" id="{0930A1A8-CD46-43EC-907A-DD5704A15379}">
    <text>Como foi respondido que 0% da população era atendida por coleta indiferenciada, esse município foi contabilizado no item "não possui coleta indiferenciada" e não no item respondido</text>
  </threadedComment>
  <threadedComment ref="AE286" dT="2026-02-10T14:47:57.04" personId="{00000000-0000-0000-0000-000000000000}" id="{45D4DF85-B65D-4EE9-BE40-987109CBA00D}">
    <text>Como foi respondido que 0% da população era atendida por coleta indiferenciada, esse município foi contabilizado no item "não possui coleta indiferenciada" e não no item respondido</text>
  </threadedComment>
  <threadedComment ref="AE292" dT="2026-02-10T14:48:00.25" personId="{00000000-0000-0000-0000-000000000000}" id="{B33E3B2B-BFAD-4A18-AF53-347E4F0CAE66}">
    <text>Como foi respondido que 0% da população era atendida por coleta indiferenciada, esse município foi contabilizado no item "não possui coleta indiferenciada" e não no item respondido</text>
  </threadedComment>
  <threadedComment ref="AE305" dT="2026-02-10T14:47:47.53" personId="{00000000-0000-0000-0000-000000000000}" id="{33909D7B-CEE4-414E-A9D3-15F02131D830}">
    <text>Como foi respondido que 0% da população era atendida por coleta indiferenciada, esse município foi contabilizado no item "não possui coleta indiferenciada" e não no item respondido</text>
  </threadedComment>
  <threadedComment ref="AE319" dT="2026-02-10T14:47:40.11" personId="{00000000-0000-0000-0000-000000000000}" id="{E5A99A2F-76FE-4EC4-AB75-14C383C88D93}">
    <text>Como foi respondido que 0% da população era atendida por coleta indiferenciada, esse município foi contabilizado no item "não possui coleta indiferenciada" e não no item respondido</text>
  </threadedComment>
  <threadedComment ref="AA353" dT="2026-02-10T14:04:38.47" personId="{00000000-0000-0000-0000-000000000000}" id="{470CE65D-C966-4460-B445-AF695D071585}">
    <text>Como foi respondido que 0% da população era atendida por coleta indiferenciada, esse município foi contabilizado no item "não possui coleta indiferenciada" e não no item respondido</text>
  </threadedComment>
  <threadedComment ref="AE353" dT="2026-02-10T14:47:27.91" personId="{00000000-0000-0000-0000-000000000000}" id="{715A149A-8491-40D1-B457-8F380864C9FF}">
    <text>Como foi respondido que 0% da população era atendida por coleta indiferenciada, esse município foi contabilizado no item "não possui coleta indiferenciada" e não no item respondido</text>
  </threadedComment>
  <threadedComment ref="AE360" dT="2026-02-10T14:47:30.81" personId="{00000000-0000-0000-0000-000000000000}" id="{1750D405-2919-4004-95B2-C9FE9B43C754}">
    <text>Como foi respondido que 0% da população era atendida por coleta indiferenciada, esse município foi contabilizado no item "não possui coleta indiferenciada" e não no item respondido</text>
  </threadedComment>
  <threadedComment ref="AE371" dT="2026-02-10T14:47:18.40" personId="{00000000-0000-0000-0000-000000000000}" id="{3C43E9F8-EC2C-4427-ABAD-F5A3A19329BA}">
    <text>Como foi respondido que 0% da população era atendida por coleta indiferenciada, esse município foi contabilizado no item "não possui coleta indiferenciada" e não no item respondido</text>
  </threadedComment>
  <threadedComment ref="AA376" dT="2026-02-10T14:04:41.70" personId="{00000000-0000-0000-0000-000000000000}" id="{98B03068-CB4D-42A7-9706-474BB14A8577}">
    <text>Como foi respondido que 0% da população era atendida por coleta indiferenciada, esse município foi contabilizado no item "não possui coleta indiferenciada" e não no item respondido</text>
  </threadedComment>
  <threadedComment ref="AE376" dT="2026-02-10T14:47:09.88" personId="{00000000-0000-0000-0000-000000000000}" id="{A7A3B1F9-E780-4F37-B769-255B97D70D71}">
    <text>Como foi respondido que 0% da população era atendida por coleta indiferenciada, esse município foi contabilizado no item "não possui coleta indiferenciada" e não no item respondido</text>
  </threadedComment>
  <threadedComment ref="AE389" dT="2026-02-10T14:46:59.60" personId="{00000000-0000-0000-0000-000000000000}" id="{A4D61376-C10C-4714-BBF3-2BE0D3EA0C2E}">
    <text>Como foi respondido que 0% da população era atendida por coleta indiferenciada, esse município foi contabilizado no item "não possui coleta indiferenciada" e não no item respondido</text>
  </threadedComment>
  <threadedComment ref="AE393" dT="2026-02-10T14:46:52.94" personId="{00000000-0000-0000-0000-000000000000}" id="{3E3F4256-8180-40C4-B727-CD63554277FB}">
    <text>Como foi respondido que 0% da população era atendida por coleta indiferenciada, esse município foi contabilizado no item "não possui coleta indiferenciada" e não no item respondido</text>
  </threadedComment>
  <threadedComment ref="AE396" dT="2026-02-10T14:46:40.11" personId="{00000000-0000-0000-0000-000000000000}" id="{22C8D982-7927-4D83-B502-423E8F27A752}">
    <text>Como foi respondido que 0% da população era atendida por coleta indiferenciada, esse município foi contabilizado no item "não possui coleta indiferenciada" e não no item respondido</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leismunicipais.com.br/a1/pr/q/quatro-pontes/lei-ordinaria/2016/179/1786/lei-ordinaria-n-1786-2016-dispoe-sobre-a-politica-municipal-de-saneamento-basico-do-municipio-de-quatro-pontes-e-da-outras-providencias?q=saneamento" TargetMode="External"/><Relationship Id="rId13" Type="http://schemas.openxmlformats.org/officeDocument/2006/relationships/hyperlink" Target="https://www.veracruz.pr.gov.br/audiencia-publica-do-plano-municipal-de-saneamento-basico/" TargetMode="External"/><Relationship Id="rId18" Type="http://schemas.microsoft.com/office/2017/10/relationships/threadedComment" Target="../threadedComments/threadedComment1.xml"/><Relationship Id="rId3" Type="http://schemas.openxmlformats.org/officeDocument/2006/relationships/hyperlink" Target="https://sapl.angulo.pr.leg.br/media/sapl/public/normajuridica/1998/189/189_texto_integral.pdf" TargetMode="External"/><Relationship Id="rId7" Type="http://schemas.openxmlformats.org/officeDocument/2006/relationships/hyperlink" Target="https://www.controlemunicipal.com.br/inga/sistema/arquivos/12074/140715082636_l_2_5052014__institui_o_plano_de_gestao_integrada_de_residuos_solidos__ple_962014_pdf.pdf" TargetMode="External"/><Relationship Id="rId12" Type="http://schemas.openxmlformats.org/officeDocument/2006/relationships/hyperlink" Target="https://terraboa.pr.gov.br/wp-content/uploads/2025/04/2021-PLANO-DE-GESTAO-INTEGRADA-DE-RESIDUOS-SOLIDOS-URBANOS-DO-MUNICIPIO-DE-TERRA-BOA-2021-PR.pdf" TargetMode="External"/><Relationship Id="rId17" Type="http://schemas.openxmlformats.org/officeDocument/2006/relationships/comments" Target="../comments1.xml"/><Relationship Id="rId2" Type="http://schemas.openxmlformats.org/officeDocument/2006/relationships/hyperlink" Target="https://www.eprotocolo.pr.gov.br/spiweb/validarDocumento.do?action=iniciarProcesso" TargetMode="External"/><Relationship Id="rId16" Type="http://schemas.openxmlformats.org/officeDocument/2006/relationships/vmlDrawing" Target="../drawings/vmlDrawing1.vml"/><Relationship Id="rId1" Type="http://schemas.openxmlformats.org/officeDocument/2006/relationships/hyperlink" Target="https://www.eprotocolo.pr.gov.br/spiweb/validarDocumento.do?action=iniciarProcesso" TargetMode="External"/><Relationship Id="rId6" Type="http://schemas.openxmlformats.org/officeDocument/2006/relationships/hyperlink" Target="https://www.secid.pr.gov.br/sites/default/arquivos_restritos/files/documento/2022-12/prsb_mrae2_publicado_28_12_22.pdf" TargetMode="External"/><Relationship Id="rId11" Type="http://schemas.openxmlformats.org/officeDocument/2006/relationships/hyperlink" Target="https://www.secid.pr.gov.br/sites/default/arquivos_restritos/files/documento/2022-12/prsb_mrae_3_publicado_28_12_22.pdf" TargetMode="External"/><Relationship Id="rId5" Type="http://schemas.openxmlformats.org/officeDocument/2006/relationships/hyperlink" Target="https://sapl.angulo.pr.leg.br/ta/1065/text?" TargetMode="External"/><Relationship Id="rId15" Type="http://schemas.openxmlformats.org/officeDocument/2006/relationships/printerSettings" Target="../printerSettings/printerSettings1.bin"/><Relationship Id="rId10" Type="http://schemas.openxmlformats.org/officeDocument/2006/relationships/hyperlink" Target="https://leismunicipais.com.br/a/pr/v/vere/lei-ordinaria/2014/72/713/lei-ordinaria-n-713-2014-institui-o-plano-municipal-de-saneamento-basico-pmsb-do-municipio-de-vere-e-da-outras-providencias?q=res%EDduos%20s%F3lidos" TargetMode="External"/><Relationship Id="rId4" Type="http://schemas.openxmlformats.org/officeDocument/2006/relationships/hyperlink" Target="https://www.secid.pr.gov.br/sites/default/arquivos_restritos/files/documento/2022-12/prsb_mrae2_publicado_28_12_22.pdf" TargetMode="External"/><Relationship Id="rId9" Type="http://schemas.openxmlformats.org/officeDocument/2006/relationships/hyperlink" Target="https://leismunicipais.com.br/a1/pr/q/quatro-pontes/lei-ordinaria/2015/158/1580/lei-ordinaria-n-1580-2015-aprova-o-plano-municipal-de-gestao-integrada-de-residuos-solidos-do-municipio-de-quatro-pontes-pr-e-da-outras-providencias?q=res%C3%ADduos+s%C3%B3lidos" TargetMode="External"/><Relationship Id="rId14" Type="http://schemas.openxmlformats.org/officeDocument/2006/relationships/hyperlink" Target="https://www.veracruz.pr.gov.br/audiencia-publica-do-plano-municipal-de-saneamento-basi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9B771-D7A3-4680-9D92-4EEEBA6735D9}">
  <dimension ref="A1:DA400"/>
  <sheetViews>
    <sheetView workbookViewId="0"/>
  </sheetViews>
  <sheetFormatPr defaultColWidth="13.85546875" defaultRowHeight="11.25" customHeight="1" x14ac:dyDescent="0.25"/>
  <cols>
    <col min="1" max="4" width="13.85546875" style="10"/>
    <col min="5" max="5" width="13.85546875" style="11"/>
    <col min="6" max="16384" width="13.85546875" style="10"/>
  </cols>
  <sheetData>
    <row r="1" spans="1:105" s="3" customFormat="1" ht="11.25" customHeight="1" x14ac:dyDescent="0.2">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21</v>
      </c>
      <c r="W1" s="12" t="s">
        <v>22</v>
      </c>
      <c r="X1" s="12" t="s">
        <v>23</v>
      </c>
      <c r="Y1" s="12" t="s">
        <v>24</v>
      </c>
      <c r="Z1" s="12" t="s">
        <v>25</v>
      </c>
      <c r="AA1" s="12" t="s">
        <v>26</v>
      </c>
      <c r="AB1" s="12" t="s">
        <v>27</v>
      </c>
      <c r="AC1" s="12" t="s">
        <v>28</v>
      </c>
      <c r="AD1" s="12" t="s">
        <v>29</v>
      </c>
      <c r="AE1" s="12" t="s">
        <v>30</v>
      </c>
      <c r="AF1" s="12" t="s">
        <v>4969</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row>
    <row r="2" spans="1:105" s="3" customFormat="1" ht="11.25" customHeight="1" x14ac:dyDescent="0.2">
      <c r="A2" s="1">
        <v>41</v>
      </c>
      <c r="B2" s="1" t="s">
        <v>105</v>
      </c>
      <c r="C2" s="1" t="s">
        <v>104</v>
      </c>
      <c r="D2" s="1">
        <v>6327</v>
      </c>
      <c r="E2" s="2" t="s">
        <v>4201</v>
      </c>
      <c r="F2" s="1" t="s">
        <v>106</v>
      </c>
      <c r="G2" s="1" t="s">
        <v>107</v>
      </c>
      <c r="H2" s="1" t="s">
        <v>108</v>
      </c>
      <c r="I2" s="1" t="s">
        <v>109</v>
      </c>
      <c r="J2" s="1" t="s">
        <v>106</v>
      </c>
      <c r="K2" s="1" t="s">
        <v>110</v>
      </c>
      <c r="L2" s="1" t="s">
        <v>111</v>
      </c>
      <c r="M2" s="1" t="s">
        <v>111</v>
      </c>
      <c r="N2" s="1" t="s">
        <v>112</v>
      </c>
      <c r="O2" s="1" t="s">
        <v>113</v>
      </c>
      <c r="P2" s="1" t="s">
        <v>113</v>
      </c>
      <c r="Q2" s="1" t="s">
        <v>111</v>
      </c>
      <c r="R2" s="1" t="s">
        <v>114</v>
      </c>
      <c r="S2" s="1" t="s">
        <v>114</v>
      </c>
      <c r="T2" s="1" t="s">
        <v>113</v>
      </c>
      <c r="U2" s="1" t="s">
        <v>114</v>
      </c>
      <c r="W2" s="1" t="s">
        <v>115</v>
      </c>
      <c r="X2" s="1" t="s">
        <v>113</v>
      </c>
      <c r="Y2" s="1" t="s">
        <v>114</v>
      </c>
      <c r="Z2" s="1">
        <v>80</v>
      </c>
      <c r="AA2" s="1" t="s">
        <v>116</v>
      </c>
      <c r="AB2" s="1" t="s">
        <v>117</v>
      </c>
      <c r="AC2" s="1" t="s">
        <v>118</v>
      </c>
      <c r="AD2" s="1">
        <v>15</v>
      </c>
      <c r="AE2" s="1" t="s">
        <v>116</v>
      </c>
      <c r="AF2" s="4">
        <v>867000</v>
      </c>
      <c r="AG2" s="1" t="s">
        <v>113</v>
      </c>
      <c r="AH2" s="1">
        <v>50</v>
      </c>
      <c r="AI2" s="1">
        <v>30</v>
      </c>
      <c r="AJ2" s="1">
        <v>20</v>
      </c>
      <c r="AK2" s="1" t="s">
        <v>119</v>
      </c>
      <c r="AL2" s="1">
        <v>8840</v>
      </c>
      <c r="AM2" s="1" t="s">
        <v>120</v>
      </c>
      <c r="AN2" s="1">
        <v>8840</v>
      </c>
      <c r="AO2" s="1" t="s">
        <v>113</v>
      </c>
      <c r="AP2" s="1" t="s">
        <v>106</v>
      </c>
      <c r="AQ2" s="1" t="s">
        <v>114</v>
      </c>
      <c r="AR2" s="1" t="s">
        <v>121</v>
      </c>
      <c r="AS2" s="1" t="s">
        <v>122</v>
      </c>
      <c r="AT2" s="1" t="s">
        <v>123</v>
      </c>
      <c r="AU2" s="1" t="s">
        <v>113</v>
      </c>
      <c r="AV2" s="1" t="s">
        <v>113</v>
      </c>
      <c r="AW2" s="1" t="s">
        <v>124</v>
      </c>
      <c r="AY2" s="1">
        <v>2000</v>
      </c>
      <c r="AZ2" s="1" t="s">
        <v>113</v>
      </c>
      <c r="BA2" s="1" t="s">
        <v>113</v>
      </c>
      <c r="BB2" s="1" t="s">
        <v>125</v>
      </c>
      <c r="BD2" s="5" t="s">
        <v>126</v>
      </c>
      <c r="BE2" s="1">
        <v>0</v>
      </c>
      <c r="BF2" s="1" t="s">
        <v>127</v>
      </c>
      <c r="BG2" s="1" t="s">
        <v>127</v>
      </c>
      <c r="BJ2" s="1" t="s">
        <v>128</v>
      </c>
      <c r="BK2" s="1">
        <v>0</v>
      </c>
      <c r="BL2" s="1" t="s">
        <v>127</v>
      </c>
      <c r="BM2" s="1" t="s">
        <v>114</v>
      </c>
      <c r="BN2" s="1">
        <v>0</v>
      </c>
      <c r="BO2" s="1">
        <v>0</v>
      </c>
      <c r="BP2" s="1" t="s">
        <v>115</v>
      </c>
      <c r="BQ2" s="1" t="s">
        <v>110</v>
      </c>
      <c r="BR2" s="1" t="s">
        <v>129</v>
      </c>
      <c r="BS2" s="1" t="s">
        <v>130</v>
      </c>
      <c r="BT2" s="1" t="s">
        <v>131</v>
      </c>
      <c r="BU2" s="1" t="s">
        <v>132</v>
      </c>
      <c r="BV2" s="1" t="s">
        <v>133</v>
      </c>
      <c r="BW2" s="1" t="s">
        <v>134</v>
      </c>
      <c r="BX2" s="1" t="s">
        <v>135</v>
      </c>
      <c r="BY2" s="1" t="s">
        <v>135</v>
      </c>
      <c r="BZ2" s="1" t="s">
        <v>136</v>
      </c>
      <c r="CA2" s="1">
        <v>86700</v>
      </c>
      <c r="CB2" s="1" t="s">
        <v>137</v>
      </c>
      <c r="CC2" s="1" t="s">
        <v>138</v>
      </c>
      <c r="CF2" s="1">
        <v>0</v>
      </c>
      <c r="CG2" s="1">
        <v>0</v>
      </c>
      <c r="CH2" s="4">
        <v>276000</v>
      </c>
      <c r="CI2" s="4">
        <v>80000</v>
      </c>
      <c r="CJ2" s="4">
        <v>50000</v>
      </c>
      <c r="CK2" s="1">
        <v>0</v>
      </c>
      <c r="CL2" s="1">
        <v>0</v>
      </c>
      <c r="CM2" s="1">
        <v>0</v>
      </c>
      <c r="CN2" s="1">
        <v>0</v>
      </c>
      <c r="CO2" s="1">
        <v>0</v>
      </c>
      <c r="CP2" s="1">
        <v>0</v>
      </c>
      <c r="CQ2" s="1">
        <v>0</v>
      </c>
      <c r="CR2" s="1" t="s">
        <v>139</v>
      </c>
      <c r="CS2" s="1" t="s">
        <v>140</v>
      </c>
      <c r="CT2" s="1" t="s">
        <v>114</v>
      </c>
      <c r="CW2" s="1" t="s">
        <v>141</v>
      </c>
      <c r="CX2" s="1" t="s">
        <v>142</v>
      </c>
      <c r="CY2" s="1" t="s">
        <v>143</v>
      </c>
      <c r="CZ2" s="1" t="s">
        <v>144</v>
      </c>
      <c r="DA2" s="1" t="s">
        <v>145</v>
      </c>
    </row>
    <row r="3" spans="1:105" s="3" customFormat="1" ht="11.25" customHeight="1" x14ac:dyDescent="0.2">
      <c r="A3" s="1">
        <v>41</v>
      </c>
      <c r="B3" s="1" t="s">
        <v>147</v>
      </c>
      <c r="C3" s="1" t="s">
        <v>146</v>
      </c>
      <c r="D3" s="1">
        <v>124788</v>
      </c>
      <c r="E3" s="2" t="s">
        <v>4201</v>
      </c>
      <c r="F3" s="1" t="s">
        <v>106</v>
      </c>
      <c r="G3" s="1" t="s">
        <v>107</v>
      </c>
      <c r="H3" s="1" t="s">
        <v>148</v>
      </c>
      <c r="I3" s="1" t="s">
        <v>109</v>
      </c>
      <c r="J3" s="1" t="s">
        <v>106</v>
      </c>
      <c r="K3" s="1" t="s">
        <v>110</v>
      </c>
      <c r="L3" s="1" t="s">
        <v>149</v>
      </c>
      <c r="M3" s="1" t="s">
        <v>150</v>
      </c>
      <c r="N3" s="1" t="s">
        <v>151</v>
      </c>
      <c r="O3" s="1" t="s">
        <v>113</v>
      </c>
      <c r="P3" s="1" t="s">
        <v>113</v>
      </c>
      <c r="Q3" s="1" t="s">
        <v>152</v>
      </c>
      <c r="R3" s="1" t="s">
        <v>153</v>
      </c>
      <c r="S3" s="1" t="s">
        <v>154</v>
      </c>
      <c r="T3" s="1" t="s">
        <v>113</v>
      </c>
      <c r="U3" s="1" t="s">
        <v>155</v>
      </c>
      <c r="V3" s="1" t="s">
        <v>156</v>
      </c>
      <c r="W3" s="1" t="s">
        <v>115</v>
      </c>
      <c r="X3" s="1" t="s">
        <v>113</v>
      </c>
      <c r="Y3" s="1" t="s">
        <v>157</v>
      </c>
      <c r="Z3" s="1">
        <v>97</v>
      </c>
      <c r="AA3" s="1" t="s">
        <v>132</v>
      </c>
      <c r="AB3" s="1" t="s">
        <v>158</v>
      </c>
      <c r="AC3" s="1" t="s">
        <v>118</v>
      </c>
      <c r="AD3" s="1">
        <v>40</v>
      </c>
      <c r="AE3" s="1" t="s">
        <v>159</v>
      </c>
      <c r="AF3" s="1">
        <v>21656</v>
      </c>
      <c r="AG3" s="1" t="s">
        <v>113</v>
      </c>
      <c r="AH3" s="1">
        <v>0</v>
      </c>
      <c r="AI3" s="1">
        <v>0</v>
      </c>
      <c r="AJ3" s="1">
        <v>0</v>
      </c>
      <c r="AK3" s="1" t="s">
        <v>119</v>
      </c>
      <c r="AL3" s="1">
        <v>0</v>
      </c>
      <c r="AM3" s="1" t="s">
        <v>160</v>
      </c>
      <c r="AN3" s="1">
        <v>0</v>
      </c>
      <c r="AO3" s="1" t="s">
        <v>113</v>
      </c>
      <c r="AP3" s="1" t="s">
        <v>106</v>
      </c>
      <c r="AQ3" s="1" t="s">
        <v>161</v>
      </c>
      <c r="AR3" s="1" t="s">
        <v>162</v>
      </c>
      <c r="AS3" s="1" t="s">
        <v>163</v>
      </c>
      <c r="AT3" s="1" t="s">
        <v>123</v>
      </c>
      <c r="AU3" s="1" t="s">
        <v>113</v>
      </c>
      <c r="AV3" s="1" t="s">
        <v>113</v>
      </c>
      <c r="AW3" s="1" t="s">
        <v>164</v>
      </c>
      <c r="AX3" s="1" t="s">
        <v>165</v>
      </c>
      <c r="AY3" s="1">
        <v>0</v>
      </c>
      <c r="AZ3" s="1" t="s">
        <v>113</v>
      </c>
      <c r="BA3" s="1" t="s">
        <v>113</v>
      </c>
      <c r="BB3" s="1" t="s">
        <v>125</v>
      </c>
      <c r="BC3" s="1" t="s">
        <v>166</v>
      </c>
      <c r="BD3" s="1">
        <v>0</v>
      </c>
      <c r="BE3" s="1">
        <v>70</v>
      </c>
      <c r="BF3" s="1" t="s">
        <v>167</v>
      </c>
      <c r="BG3" s="1" t="s">
        <v>132</v>
      </c>
      <c r="BH3" s="1" t="s">
        <v>168</v>
      </c>
      <c r="BI3" s="1" t="s">
        <v>169</v>
      </c>
      <c r="BJ3" s="1" t="s">
        <v>128</v>
      </c>
      <c r="BK3" s="1">
        <v>0</v>
      </c>
      <c r="BL3" s="1" t="s">
        <v>127</v>
      </c>
      <c r="BM3" s="1" t="s">
        <v>114</v>
      </c>
      <c r="BN3" s="1" t="s">
        <v>143</v>
      </c>
      <c r="BO3" s="1" t="s">
        <v>143</v>
      </c>
      <c r="BP3" s="1" t="s">
        <v>115</v>
      </c>
      <c r="BQ3" s="1" t="s">
        <v>110</v>
      </c>
      <c r="BR3" s="1" t="s">
        <v>170</v>
      </c>
      <c r="BS3" s="1" t="s">
        <v>171</v>
      </c>
      <c r="BT3" s="1" t="s">
        <v>172</v>
      </c>
      <c r="BU3" s="1" t="s">
        <v>173</v>
      </c>
      <c r="BV3" s="1" t="s">
        <v>174</v>
      </c>
      <c r="BW3" s="1" t="s">
        <v>134</v>
      </c>
      <c r="BX3" s="1" t="s">
        <v>175</v>
      </c>
      <c r="BY3" s="1" t="s">
        <v>135</v>
      </c>
      <c r="BZ3" s="1" t="s">
        <v>161</v>
      </c>
      <c r="CA3" s="1">
        <v>21656</v>
      </c>
      <c r="CB3" s="1" t="s">
        <v>176</v>
      </c>
      <c r="CC3" s="1" t="s">
        <v>177</v>
      </c>
      <c r="CD3" s="1" t="s">
        <v>178</v>
      </c>
      <c r="CE3" s="1" t="s">
        <v>179</v>
      </c>
      <c r="CF3" s="1">
        <v>8838627.6799999997</v>
      </c>
      <c r="CG3" s="1">
        <v>96033948.239999995</v>
      </c>
      <c r="CH3" s="1">
        <v>271.24</v>
      </c>
      <c r="CI3" s="1">
        <v>79.55</v>
      </c>
      <c r="CJ3" s="1">
        <v>97.86</v>
      </c>
      <c r="CK3" s="1">
        <v>0</v>
      </c>
      <c r="CL3" s="1">
        <v>0</v>
      </c>
      <c r="CM3" s="1">
        <v>0</v>
      </c>
      <c r="CN3" s="1">
        <v>0</v>
      </c>
      <c r="CO3" s="1">
        <v>0</v>
      </c>
      <c r="CP3" s="1">
        <v>0</v>
      </c>
      <c r="CQ3" s="1">
        <v>0</v>
      </c>
      <c r="CR3" s="1" t="s">
        <v>180</v>
      </c>
      <c r="CS3" s="1" t="s">
        <v>140</v>
      </c>
      <c r="CT3" s="1" t="s">
        <v>181</v>
      </c>
      <c r="CU3" s="1" t="s">
        <v>182</v>
      </c>
      <c r="CV3" s="1" t="s">
        <v>183</v>
      </c>
      <c r="CW3" s="1" t="s">
        <v>184</v>
      </c>
      <c r="CX3" s="1" t="s">
        <v>185</v>
      </c>
      <c r="CY3" s="1" t="s">
        <v>143</v>
      </c>
      <c r="CZ3" s="1" t="s">
        <v>144</v>
      </c>
      <c r="DA3" s="1" t="s">
        <v>145</v>
      </c>
    </row>
    <row r="4" spans="1:105" s="3" customFormat="1" ht="11.25" customHeight="1" x14ac:dyDescent="0.2">
      <c r="A4" s="3">
        <v>41</v>
      </c>
      <c r="B4" s="3" t="s">
        <v>186</v>
      </c>
      <c r="C4" s="3" t="s">
        <v>187</v>
      </c>
      <c r="D4" s="3">
        <v>1760</v>
      </c>
      <c r="E4" s="2" t="s">
        <v>1688</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4"/>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V4" s="1"/>
      <c r="CW4" s="1"/>
      <c r="CX4" s="1"/>
      <c r="CY4" s="1"/>
      <c r="CZ4" s="1"/>
      <c r="DA4" s="1"/>
    </row>
    <row r="5" spans="1:105" s="3" customFormat="1" ht="11.25" customHeight="1" x14ac:dyDescent="0.2">
      <c r="A5" s="1">
        <v>41</v>
      </c>
      <c r="B5" s="1" t="s">
        <v>189</v>
      </c>
      <c r="C5" s="1" t="s">
        <v>188</v>
      </c>
      <c r="D5" s="1">
        <v>3543</v>
      </c>
      <c r="E5" s="2" t="s">
        <v>4201</v>
      </c>
      <c r="F5" s="1" t="s">
        <v>113</v>
      </c>
      <c r="G5" s="1" t="s">
        <v>190</v>
      </c>
      <c r="H5" s="1" t="s">
        <v>191</v>
      </c>
      <c r="I5" s="1" t="s">
        <v>193</v>
      </c>
      <c r="J5" s="1" t="s">
        <v>113</v>
      </c>
      <c r="K5" s="1" t="s">
        <v>194</v>
      </c>
      <c r="L5" s="1" t="s">
        <v>111</v>
      </c>
      <c r="M5" s="1" t="s">
        <v>191</v>
      </c>
      <c r="N5" s="1" t="s">
        <v>112</v>
      </c>
      <c r="O5" s="1" t="s">
        <v>113</v>
      </c>
      <c r="P5" s="1" t="s">
        <v>113</v>
      </c>
      <c r="Q5" s="1" t="s">
        <v>195</v>
      </c>
      <c r="R5" s="1" t="s">
        <v>196</v>
      </c>
      <c r="S5" s="1" t="s">
        <v>191</v>
      </c>
      <c r="T5" s="1" t="s">
        <v>106</v>
      </c>
      <c r="U5" s="1" t="s">
        <v>197</v>
      </c>
      <c r="V5" s="1" t="s">
        <v>198</v>
      </c>
      <c r="W5" s="1" t="s">
        <v>199</v>
      </c>
      <c r="X5" s="1" t="s">
        <v>113</v>
      </c>
      <c r="Y5" s="1" t="s">
        <v>157</v>
      </c>
      <c r="Z5" s="1">
        <v>100</v>
      </c>
      <c r="AA5" s="1" t="s">
        <v>116</v>
      </c>
      <c r="AB5" s="1" t="s">
        <v>128</v>
      </c>
      <c r="AC5" s="1" t="s">
        <v>118</v>
      </c>
      <c r="AD5" s="1">
        <v>70</v>
      </c>
      <c r="AE5" s="1" t="s">
        <v>116</v>
      </c>
      <c r="AF5" s="1">
        <v>444</v>
      </c>
      <c r="AG5" s="1" t="s">
        <v>113</v>
      </c>
      <c r="AH5" s="1">
        <v>0</v>
      </c>
      <c r="AI5" s="1">
        <v>0</v>
      </c>
      <c r="AJ5" s="1">
        <v>0</v>
      </c>
      <c r="AK5" s="1" t="s">
        <v>200</v>
      </c>
      <c r="AL5" s="1">
        <v>250</v>
      </c>
      <c r="AM5" s="1" t="s">
        <v>120</v>
      </c>
      <c r="AN5" s="1">
        <v>250</v>
      </c>
      <c r="AO5" s="1" t="s">
        <v>113</v>
      </c>
      <c r="AP5" s="1" t="s">
        <v>106</v>
      </c>
      <c r="AQ5" s="1" t="s">
        <v>201</v>
      </c>
      <c r="AR5" s="1" t="s">
        <v>202</v>
      </c>
      <c r="AS5" s="1" t="s">
        <v>203</v>
      </c>
      <c r="AT5" s="1" t="s">
        <v>204</v>
      </c>
      <c r="AU5" s="1" t="s">
        <v>113</v>
      </c>
      <c r="AV5" s="1" t="s">
        <v>113</v>
      </c>
      <c r="AW5" s="1" t="s">
        <v>205</v>
      </c>
      <c r="AX5" s="1" t="s">
        <v>206</v>
      </c>
      <c r="AY5" s="1">
        <v>330</v>
      </c>
      <c r="AZ5" s="1" t="s">
        <v>113</v>
      </c>
      <c r="BA5" s="1" t="s">
        <v>113</v>
      </c>
      <c r="BB5" s="1" t="s">
        <v>125</v>
      </c>
      <c r="BC5" s="1" t="s">
        <v>166</v>
      </c>
      <c r="BD5" s="1">
        <v>0</v>
      </c>
      <c r="BE5" s="1">
        <v>90</v>
      </c>
      <c r="BF5" s="1" t="s">
        <v>167</v>
      </c>
      <c r="BG5" s="1" t="s">
        <v>116</v>
      </c>
      <c r="BH5" s="1" t="s">
        <v>168</v>
      </c>
      <c r="BI5" s="1" t="s">
        <v>207</v>
      </c>
      <c r="BJ5" s="1" t="s">
        <v>208</v>
      </c>
      <c r="BK5" s="1">
        <v>70</v>
      </c>
      <c r="BL5" s="1" t="s">
        <v>209</v>
      </c>
      <c r="BM5" s="1" t="s">
        <v>210</v>
      </c>
      <c r="BN5" s="1" t="s">
        <v>143</v>
      </c>
      <c r="BO5" s="1" t="s">
        <v>211</v>
      </c>
      <c r="BP5" s="1" t="s">
        <v>115</v>
      </c>
      <c r="BQ5" s="1" t="s">
        <v>212</v>
      </c>
      <c r="BR5" s="1" t="s">
        <v>213</v>
      </c>
      <c r="BS5" s="1" t="s">
        <v>214</v>
      </c>
      <c r="BT5" s="1" t="s">
        <v>172</v>
      </c>
      <c r="BU5" s="1" t="s">
        <v>132</v>
      </c>
      <c r="BV5" s="1" t="s">
        <v>215</v>
      </c>
      <c r="BW5" s="1" t="s">
        <v>134</v>
      </c>
      <c r="BX5" s="1" t="s">
        <v>175</v>
      </c>
      <c r="BY5" s="1" t="s">
        <v>135</v>
      </c>
      <c r="BZ5" s="1" t="s">
        <v>157</v>
      </c>
      <c r="CA5" s="1">
        <v>444</v>
      </c>
      <c r="CB5" s="1" t="s">
        <v>216</v>
      </c>
      <c r="CC5" s="1" t="s">
        <v>217</v>
      </c>
      <c r="CD5" s="1" t="s">
        <v>218</v>
      </c>
      <c r="CE5" s="1" t="s">
        <v>219</v>
      </c>
      <c r="CF5" s="6">
        <v>109642.97</v>
      </c>
      <c r="CG5" s="6">
        <v>518157.71</v>
      </c>
      <c r="CH5" s="1">
        <v>499</v>
      </c>
      <c r="CI5" s="1">
        <v>0</v>
      </c>
      <c r="CJ5" s="1">
        <v>366.39</v>
      </c>
      <c r="CK5" s="1">
        <v>499</v>
      </c>
      <c r="CL5" s="5" t="s">
        <v>220</v>
      </c>
      <c r="CM5" s="5" t="s">
        <v>220</v>
      </c>
      <c r="CN5" s="1" t="s">
        <v>221</v>
      </c>
      <c r="CO5" s="1">
        <v>0</v>
      </c>
      <c r="CP5" s="1">
        <v>0</v>
      </c>
      <c r="CQ5" s="1">
        <v>0</v>
      </c>
      <c r="CR5" s="1" t="s">
        <v>139</v>
      </c>
      <c r="CS5" s="1" t="s">
        <v>222</v>
      </c>
      <c r="CT5" s="1" t="s">
        <v>223</v>
      </c>
      <c r="CV5" s="1" t="s">
        <v>224</v>
      </c>
      <c r="CW5" s="1" t="s">
        <v>184</v>
      </c>
      <c r="CX5" s="1" t="s">
        <v>225</v>
      </c>
      <c r="CY5" s="1" t="s">
        <v>157</v>
      </c>
      <c r="CZ5" s="1" t="s">
        <v>144</v>
      </c>
      <c r="DA5" s="1" t="s">
        <v>145</v>
      </c>
    </row>
    <row r="6" spans="1:105" s="3" customFormat="1" ht="11.25" customHeight="1" x14ac:dyDescent="0.2">
      <c r="A6" s="1">
        <v>41</v>
      </c>
      <c r="B6" s="1" t="s">
        <v>227</v>
      </c>
      <c r="C6" s="1" t="s">
        <v>226</v>
      </c>
      <c r="D6" s="1">
        <v>3077</v>
      </c>
      <c r="E6" s="2" t="s">
        <v>4201</v>
      </c>
      <c r="F6" s="1" t="s">
        <v>113</v>
      </c>
      <c r="G6" s="1" t="s">
        <v>190</v>
      </c>
      <c r="H6" s="1" t="s">
        <v>228</v>
      </c>
      <c r="I6" s="1" t="s">
        <v>229</v>
      </c>
      <c r="J6" s="1" t="s">
        <v>113</v>
      </c>
      <c r="L6" s="1" t="s">
        <v>111</v>
      </c>
      <c r="M6" s="1" t="s">
        <v>230</v>
      </c>
      <c r="N6" s="1" t="s">
        <v>112</v>
      </c>
      <c r="O6" s="1" t="s">
        <v>113</v>
      </c>
      <c r="P6" s="1" t="s">
        <v>106</v>
      </c>
      <c r="Q6" s="1" t="s">
        <v>195</v>
      </c>
      <c r="R6" s="1" t="s">
        <v>127</v>
      </c>
      <c r="S6" s="1" t="s">
        <v>127</v>
      </c>
      <c r="T6" s="1" t="s">
        <v>106</v>
      </c>
      <c r="U6" s="1" t="s">
        <v>127</v>
      </c>
      <c r="V6" s="1" t="s">
        <v>231</v>
      </c>
      <c r="W6" s="1" t="s">
        <v>115</v>
      </c>
      <c r="X6" s="1" t="s">
        <v>113</v>
      </c>
      <c r="Y6" s="1" t="s">
        <v>127</v>
      </c>
      <c r="Z6" s="1">
        <v>100</v>
      </c>
      <c r="AA6" s="1" t="s">
        <v>116</v>
      </c>
      <c r="AB6" s="1" t="s">
        <v>128</v>
      </c>
      <c r="AC6" s="1" t="s">
        <v>128</v>
      </c>
      <c r="AD6" s="1">
        <v>0</v>
      </c>
      <c r="AE6" s="1" t="s">
        <v>116</v>
      </c>
      <c r="AF6" s="1">
        <v>351.5</v>
      </c>
      <c r="AG6" s="1" t="s">
        <v>106</v>
      </c>
      <c r="AH6" s="1">
        <v>50</v>
      </c>
      <c r="AI6" s="1">
        <v>30</v>
      </c>
      <c r="AJ6" s="1">
        <v>20</v>
      </c>
      <c r="AK6" s="1" t="s">
        <v>232</v>
      </c>
      <c r="AL6" s="1">
        <v>1200</v>
      </c>
      <c r="AM6" s="1" t="s">
        <v>233</v>
      </c>
      <c r="AN6" s="1">
        <v>1200</v>
      </c>
      <c r="AO6" s="1" t="s">
        <v>113</v>
      </c>
      <c r="AP6" s="1" t="s">
        <v>113</v>
      </c>
      <c r="AQ6" s="1" t="s">
        <v>127</v>
      </c>
      <c r="AR6" s="1" t="s">
        <v>127</v>
      </c>
      <c r="AS6" s="1" t="s">
        <v>127</v>
      </c>
      <c r="AT6" s="1" t="s">
        <v>123</v>
      </c>
      <c r="AU6" s="1" t="s">
        <v>106</v>
      </c>
      <c r="AV6" s="1" t="s">
        <v>113</v>
      </c>
      <c r="AW6" s="1" t="s">
        <v>234</v>
      </c>
      <c r="AX6" s="1" t="s">
        <v>235</v>
      </c>
      <c r="AY6" s="1">
        <v>50</v>
      </c>
      <c r="AZ6" s="1" t="s">
        <v>113</v>
      </c>
      <c r="BA6" s="1" t="s">
        <v>113</v>
      </c>
      <c r="BB6" s="1" t="s">
        <v>125</v>
      </c>
      <c r="BC6" s="1" t="s">
        <v>166</v>
      </c>
      <c r="BD6" s="1">
        <v>0</v>
      </c>
      <c r="BE6" s="1">
        <v>100</v>
      </c>
      <c r="BF6" s="1" t="s">
        <v>167</v>
      </c>
      <c r="BG6" s="1" t="s">
        <v>116</v>
      </c>
      <c r="BH6" s="1" t="s">
        <v>168</v>
      </c>
      <c r="BI6" s="1" t="s">
        <v>168</v>
      </c>
      <c r="BJ6" s="1" t="s">
        <v>128</v>
      </c>
      <c r="BK6" s="1">
        <v>0</v>
      </c>
      <c r="BL6" s="1" t="s">
        <v>127</v>
      </c>
      <c r="BM6" s="1" t="s">
        <v>114</v>
      </c>
      <c r="BN6" s="1" t="s">
        <v>127</v>
      </c>
      <c r="BO6" s="1">
        <v>0</v>
      </c>
      <c r="BP6" s="1" t="s">
        <v>124</v>
      </c>
      <c r="BQ6" s="1" t="s">
        <v>236</v>
      </c>
      <c r="BR6" s="1" t="s">
        <v>237</v>
      </c>
      <c r="BS6" s="1" t="s">
        <v>238</v>
      </c>
      <c r="BT6" s="1" t="s">
        <v>172</v>
      </c>
      <c r="BU6" s="1" t="s">
        <v>239</v>
      </c>
      <c r="BV6" s="1" t="s">
        <v>240</v>
      </c>
      <c r="BW6" s="1" t="s">
        <v>134</v>
      </c>
      <c r="BX6" s="1" t="s">
        <v>157</v>
      </c>
      <c r="BY6" s="1" t="s">
        <v>241</v>
      </c>
      <c r="BZ6" s="1" t="s">
        <v>242</v>
      </c>
      <c r="CA6" s="1" t="s">
        <v>243</v>
      </c>
      <c r="CB6" s="1" t="s">
        <v>244</v>
      </c>
      <c r="CC6" s="1" t="s">
        <v>177</v>
      </c>
      <c r="CD6" s="1" t="s">
        <v>127</v>
      </c>
      <c r="CE6" s="1" t="s">
        <v>219</v>
      </c>
      <c r="CF6" s="1" t="s">
        <v>245</v>
      </c>
      <c r="CG6" s="1" t="s">
        <v>246</v>
      </c>
      <c r="CH6" s="1">
        <v>180</v>
      </c>
      <c r="CI6" s="1">
        <v>0</v>
      </c>
      <c r="CJ6" s="1">
        <v>210</v>
      </c>
      <c r="CK6" s="1">
        <v>160</v>
      </c>
      <c r="CL6" s="5" t="s">
        <v>247</v>
      </c>
      <c r="CM6" s="1">
        <v>110</v>
      </c>
      <c r="CN6" s="1">
        <v>60</v>
      </c>
      <c r="CO6" s="1">
        <v>0</v>
      </c>
      <c r="CP6" s="1">
        <v>0</v>
      </c>
      <c r="CQ6" s="1">
        <v>0</v>
      </c>
      <c r="CR6" s="1" t="s">
        <v>139</v>
      </c>
      <c r="CS6" s="1" t="s">
        <v>140</v>
      </c>
      <c r="CT6" s="1" t="s">
        <v>248</v>
      </c>
      <c r="CU6" s="1" t="s">
        <v>249</v>
      </c>
      <c r="CV6" s="1" t="s">
        <v>250</v>
      </c>
      <c r="CW6" s="1" t="s">
        <v>251</v>
      </c>
      <c r="CX6" s="1" t="s">
        <v>157</v>
      </c>
      <c r="CY6" s="1" t="s">
        <v>157</v>
      </c>
      <c r="CZ6" s="1" t="s">
        <v>144</v>
      </c>
      <c r="DA6" s="1" t="s">
        <v>145</v>
      </c>
    </row>
    <row r="7" spans="1:105" s="3" customFormat="1" ht="11.25" customHeight="1" x14ac:dyDescent="0.2">
      <c r="A7" s="1">
        <v>41</v>
      </c>
      <c r="B7" s="1" t="s">
        <v>253</v>
      </c>
      <c r="C7" s="1" t="s">
        <v>252</v>
      </c>
      <c r="D7" s="1">
        <v>14138</v>
      </c>
      <c r="E7" s="2" t="s">
        <v>4201</v>
      </c>
      <c r="F7" s="1" t="s">
        <v>106</v>
      </c>
      <c r="G7" s="1" t="s">
        <v>254</v>
      </c>
      <c r="H7" s="1" t="s">
        <v>255</v>
      </c>
      <c r="I7" s="1" t="s">
        <v>256</v>
      </c>
      <c r="J7" s="1" t="s">
        <v>106</v>
      </c>
      <c r="K7" s="1" t="s">
        <v>255</v>
      </c>
      <c r="L7" s="1" t="s">
        <v>111</v>
      </c>
      <c r="M7" s="1" t="s">
        <v>257</v>
      </c>
      <c r="N7" s="1" t="s">
        <v>112</v>
      </c>
      <c r="O7" s="1" t="s">
        <v>106</v>
      </c>
      <c r="P7" s="1" t="s">
        <v>113</v>
      </c>
      <c r="Q7" s="1" t="s">
        <v>258</v>
      </c>
      <c r="R7" s="1" t="s">
        <v>259</v>
      </c>
      <c r="S7" s="1" t="s">
        <v>260</v>
      </c>
      <c r="T7" s="1" t="s">
        <v>106</v>
      </c>
      <c r="U7" s="1" t="s">
        <v>261</v>
      </c>
      <c r="V7" s="1" t="s">
        <v>262</v>
      </c>
      <c r="W7" s="1" t="s">
        <v>199</v>
      </c>
      <c r="X7" s="1" t="s">
        <v>113</v>
      </c>
      <c r="Y7" s="1" t="s">
        <v>114</v>
      </c>
      <c r="Z7" s="1">
        <v>100</v>
      </c>
      <c r="AA7" s="1" t="s">
        <v>116</v>
      </c>
      <c r="AB7" s="1" t="s">
        <v>128</v>
      </c>
      <c r="AC7" s="1" t="s">
        <v>118</v>
      </c>
      <c r="AD7" s="1">
        <v>20</v>
      </c>
      <c r="AE7" s="1" t="s">
        <v>116</v>
      </c>
      <c r="AF7" s="1">
        <v>2040</v>
      </c>
      <c r="AG7" s="1" t="s">
        <v>113</v>
      </c>
      <c r="AH7" s="1">
        <v>0</v>
      </c>
      <c r="AI7" s="1">
        <v>0</v>
      </c>
      <c r="AJ7" s="1">
        <v>0</v>
      </c>
      <c r="AK7" s="1" t="s">
        <v>263</v>
      </c>
      <c r="AL7" s="1">
        <v>20</v>
      </c>
      <c r="AM7" s="1" t="s">
        <v>264</v>
      </c>
      <c r="AN7" s="1">
        <v>20</v>
      </c>
      <c r="AO7" s="1" t="s">
        <v>113</v>
      </c>
      <c r="AP7" s="1" t="s">
        <v>113</v>
      </c>
      <c r="AQ7" s="1" t="s">
        <v>265</v>
      </c>
      <c r="AR7" s="1" t="s">
        <v>266</v>
      </c>
      <c r="AS7" s="1" t="s">
        <v>267</v>
      </c>
      <c r="AT7" s="1" t="s">
        <v>123</v>
      </c>
      <c r="AU7" s="1" t="s">
        <v>106</v>
      </c>
      <c r="AV7" s="1" t="s">
        <v>106</v>
      </c>
      <c r="AW7" s="1" t="s">
        <v>234</v>
      </c>
      <c r="AX7" s="1" t="s">
        <v>206</v>
      </c>
      <c r="AY7" s="1">
        <v>0</v>
      </c>
      <c r="AZ7" s="1" t="s">
        <v>113</v>
      </c>
      <c r="BA7" s="1" t="s">
        <v>113</v>
      </c>
      <c r="BB7" s="1" t="s">
        <v>125</v>
      </c>
      <c r="BC7" s="1" t="s">
        <v>166</v>
      </c>
      <c r="BD7" s="1">
        <v>0</v>
      </c>
      <c r="BE7" s="1">
        <v>100</v>
      </c>
      <c r="BF7" s="1" t="s">
        <v>167</v>
      </c>
      <c r="BG7" s="1" t="s">
        <v>268</v>
      </c>
      <c r="BH7" s="1" t="s">
        <v>269</v>
      </c>
      <c r="BI7" s="1" t="s">
        <v>269</v>
      </c>
      <c r="BJ7" s="1" t="s">
        <v>208</v>
      </c>
      <c r="BK7" s="1">
        <v>30</v>
      </c>
      <c r="BL7" s="1" t="s">
        <v>270</v>
      </c>
      <c r="BM7" s="1" t="s">
        <v>271</v>
      </c>
      <c r="BN7" s="1" t="s">
        <v>143</v>
      </c>
      <c r="BO7" s="1">
        <v>18</v>
      </c>
      <c r="BP7" s="1" t="s">
        <v>115</v>
      </c>
      <c r="BQ7" s="1" t="s">
        <v>255</v>
      </c>
      <c r="BR7" s="1" t="s">
        <v>272</v>
      </c>
      <c r="BS7" s="1" t="s">
        <v>273</v>
      </c>
      <c r="BT7" s="1" t="s">
        <v>172</v>
      </c>
      <c r="BU7" s="1" t="s">
        <v>274</v>
      </c>
      <c r="BV7" s="1" t="s">
        <v>275</v>
      </c>
      <c r="BW7" s="1" t="s">
        <v>134</v>
      </c>
      <c r="BX7" s="1" t="s">
        <v>276</v>
      </c>
      <c r="BY7" s="1" t="s">
        <v>135</v>
      </c>
      <c r="BZ7" s="1" t="s">
        <v>157</v>
      </c>
      <c r="CA7" s="1">
        <v>2040</v>
      </c>
      <c r="CB7" s="1" t="s">
        <v>176</v>
      </c>
      <c r="CC7" s="1" t="s">
        <v>277</v>
      </c>
      <c r="CD7" s="1" t="s">
        <v>278</v>
      </c>
      <c r="CE7" s="1" t="s">
        <v>219</v>
      </c>
      <c r="CF7" s="1">
        <v>872034.09</v>
      </c>
      <c r="CG7" s="1">
        <v>1491185.97</v>
      </c>
      <c r="CH7" s="1">
        <v>364.26</v>
      </c>
      <c r="CI7" s="1">
        <v>0</v>
      </c>
      <c r="CJ7" s="1" t="s">
        <v>279</v>
      </c>
      <c r="CK7" s="1">
        <v>0</v>
      </c>
      <c r="CL7" s="1" t="s">
        <v>280</v>
      </c>
      <c r="CM7" s="1">
        <v>0</v>
      </c>
      <c r="CN7" s="1" t="s">
        <v>281</v>
      </c>
      <c r="CO7" s="1">
        <v>0</v>
      </c>
      <c r="CP7" s="1">
        <v>0</v>
      </c>
      <c r="CQ7" s="1">
        <v>0</v>
      </c>
      <c r="CR7" s="1" t="s">
        <v>139</v>
      </c>
      <c r="CS7" s="1" t="s">
        <v>140</v>
      </c>
      <c r="CT7" s="1" t="s">
        <v>282</v>
      </c>
      <c r="CV7" s="1" t="s">
        <v>283</v>
      </c>
      <c r="CW7" s="1" t="s">
        <v>284</v>
      </c>
      <c r="CX7" s="1" t="s">
        <v>285</v>
      </c>
      <c r="CY7" s="1" t="s">
        <v>143</v>
      </c>
      <c r="CZ7" s="1" t="s">
        <v>144</v>
      </c>
      <c r="DA7" s="1" t="s">
        <v>145</v>
      </c>
    </row>
    <row r="8" spans="1:105" s="3" customFormat="1" ht="11.25" customHeight="1" x14ac:dyDescent="0.2">
      <c r="A8" s="1">
        <v>41</v>
      </c>
      <c r="B8" s="1" t="s">
        <v>287</v>
      </c>
      <c r="C8" s="1" t="s">
        <v>286</v>
      </c>
      <c r="D8" s="1">
        <v>9802</v>
      </c>
      <c r="E8" s="2" t="s">
        <v>4201</v>
      </c>
      <c r="F8" s="1" t="s">
        <v>113</v>
      </c>
      <c r="G8" s="1" t="s">
        <v>190</v>
      </c>
      <c r="H8" s="1" t="s">
        <v>288</v>
      </c>
      <c r="I8" s="1" t="s">
        <v>229</v>
      </c>
      <c r="J8" s="1" t="s">
        <v>229</v>
      </c>
      <c r="K8" s="1" t="s">
        <v>288</v>
      </c>
      <c r="L8" s="1" t="s">
        <v>111</v>
      </c>
      <c r="M8" s="1" t="s">
        <v>111</v>
      </c>
      <c r="N8" s="1" t="s">
        <v>112</v>
      </c>
      <c r="O8" s="1" t="s">
        <v>113</v>
      </c>
      <c r="P8" s="1" t="s">
        <v>113</v>
      </c>
      <c r="Q8" s="1" t="s">
        <v>195</v>
      </c>
      <c r="R8" s="1" t="s">
        <v>289</v>
      </c>
      <c r="S8" s="1" t="s">
        <v>114</v>
      </c>
      <c r="T8" s="1" t="s">
        <v>106</v>
      </c>
      <c r="U8" s="1" t="s">
        <v>290</v>
      </c>
      <c r="V8" s="1" t="s">
        <v>291</v>
      </c>
      <c r="W8" s="1" t="s">
        <v>115</v>
      </c>
      <c r="X8" s="1" t="s">
        <v>113</v>
      </c>
      <c r="Y8" s="1" t="s">
        <v>114</v>
      </c>
      <c r="Z8" s="1">
        <v>100</v>
      </c>
      <c r="AA8" s="1" t="s">
        <v>116</v>
      </c>
      <c r="AB8" s="1" t="s">
        <v>128</v>
      </c>
      <c r="AC8" s="1" t="s">
        <v>118</v>
      </c>
      <c r="AD8" s="1">
        <v>80</v>
      </c>
      <c r="AE8" s="1" t="s">
        <v>116</v>
      </c>
      <c r="AF8" s="1">
        <v>1440</v>
      </c>
      <c r="AG8" s="1" t="s">
        <v>113</v>
      </c>
      <c r="AH8" s="5" t="s">
        <v>220</v>
      </c>
      <c r="AI8" s="1">
        <v>20</v>
      </c>
      <c r="AJ8" s="1">
        <v>0</v>
      </c>
      <c r="AK8" s="1" t="s">
        <v>292</v>
      </c>
      <c r="AL8" s="1">
        <v>80</v>
      </c>
      <c r="AM8" s="1" t="s">
        <v>293</v>
      </c>
      <c r="AN8" s="1">
        <v>80</v>
      </c>
      <c r="AO8" s="1" t="s">
        <v>113</v>
      </c>
      <c r="AP8" s="1" t="s">
        <v>113</v>
      </c>
      <c r="AQ8" s="1" t="s">
        <v>114</v>
      </c>
      <c r="AR8" s="1" t="s">
        <v>114</v>
      </c>
      <c r="AS8" s="1" t="s">
        <v>114</v>
      </c>
      <c r="AT8" s="1" t="s">
        <v>123</v>
      </c>
      <c r="AU8" s="1" t="s">
        <v>113</v>
      </c>
      <c r="AV8" s="1" t="s">
        <v>113</v>
      </c>
      <c r="AW8" s="1" t="s">
        <v>164</v>
      </c>
      <c r="AX8" s="1" t="s">
        <v>206</v>
      </c>
      <c r="AY8" s="1">
        <v>0</v>
      </c>
      <c r="AZ8" s="1" t="s">
        <v>113</v>
      </c>
      <c r="BA8" s="1" t="s">
        <v>113</v>
      </c>
      <c r="BB8" s="1" t="s">
        <v>125</v>
      </c>
      <c r="BC8" s="1" t="s">
        <v>166</v>
      </c>
      <c r="BD8" s="1">
        <v>0</v>
      </c>
      <c r="BE8" s="1">
        <v>100</v>
      </c>
      <c r="BF8" s="1" t="s">
        <v>167</v>
      </c>
      <c r="BG8" s="1" t="s">
        <v>116</v>
      </c>
      <c r="BH8" s="1" t="s">
        <v>168</v>
      </c>
      <c r="BI8" s="1" t="s">
        <v>269</v>
      </c>
      <c r="BJ8" s="1" t="s">
        <v>208</v>
      </c>
      <c r="BK8" s="1">
        <v>80</v>
      </c>
      <c r="BL8" s="1" t="s">
        <v>294</v>
      </c>
      <c r="BM8" s="1" t="s">
        <v>210</v>
      </c>
      <c r="BN8" s="1" t="s">
        <v>143</v>
      </c>
      <c r="BO8" s="1">
        <v>0</v>
      </c>
      <c r="BP8" s="1" t="s">
        <v>124</v>
      </c>
      <c r="BQ8" s="1" t="s">
        <v>276</v>
      </c>
      <c r="BR8" s="1" t="s">
        <v>295</v>
      </c>
      <c r="BS8" s="1" t="s">
        <v>296</v>
      </c>
      <c r="BT8" s="1" t="s">
        <v>172</v>
      </c>
      <c r="BU8" s="1" t="s">
        <v>239</v>
      </c>
      <c r="BV8" s="1" t="s">
        <v>297</v>
      </c>
      <c r="BW8" s="1" t="s">
        <v>298</v>
      </c>
      <c r="BX8" s="1" t="s">
        <v>124</v>
      </c>
      <c r="BY8" s="1" t="s">
        <v>299</v>
      </c>
      <c r="BZ8" s="1" t="s">
        <v>300</v>
      </c>
      <c r="CA8" s="1">
        <v>1140</v>
      </c>
      <c r="CB8" s="1" t="s">
        <v>176</v>
      </c>
      <c r="CC8" s="1" t="s">
        <v>301</v>
      </c>
      <c r="CD8" s="1" t="s">
        <v>302</v>
      </c>
      <c r="CE8" s="1" t="s">
        <v>179</v>
      </c>
      <c r="CF8" s="1" t="s">
        <v>303</v>
      </c>
      <c r="CG8" s="1" t="s">
        <v>304</v>
      </c>
      <c r="CH8" s="5" t="s">
        <v>220</v>
      </c>
      <c r="CI8" s="1">
        <v>0</v>
      </c>
      <c r="CJ8" s="5" t="s">
        <v>220</v>
      </c>
      <c r="CK8" s="1" t="s">
        <v>305</v>
      </c>
      <c r="CL8" s="1" t="s">
        <v>306</v>
      </c>
      <c r="CM8" s="1" t="s">
        <v>307</v>
      </c>
      <c r="CN8" s="1">
        <v>0</v>
      </c>
      <c r="CO8" s="1">
        <v>0</v>
      </c>
      <c r="CP8" s="1">
        <v>0</v>
      </c>
      <c r="CQ8" s="1">
        <v>0</v>
      </c>
      <c r="CR8" s="1" t="s">
        <v>139</v>
      </c>
      <c r="CS8" s="1" t="s">
        <v>308</v>
      </c>
      <c r="CT8" s="1" t="s">
        <v>309</v>
      </c>
      <c r="CV8" s="1" t="s">
        <v>310</v>
      </c>
      <c r="CW8" s="1" t="s">
        <v>251</v>
      </c>
      <c r="CX8" s="1" t="s">
        <v>114</v>
      </c>
      <c r="CY8" s="1" t="s">
        <v>143</v>
      </c>
      <c r="CZ8" s="1" t="s">
        <v>144</v>
      </c>
      <c r="DA8" s="1" t="s">
        <v>145</v>
      </c>
    </row>
    <row r="9" spans="1:105" s="3" customFormat="1" ht="11.25" customHeight="1" x14ac:dyDescent="0.2">
      <c r="A9" s="1">
        <v>41</v>
      </c>
      <c r="B9" s="1" t="s">
        <v>312</v>
      </c>
      <c r="C9" s="1" t="s">
        <v>311</v>
      </c>
      <c r="D9" s="1">
        <v>18750</v>
      </c>
      <c r="E9" s="2" t="s">
        <v>4201</v>
      </c>
      <c r="F9" s="1" t="s">
        <v>113</v>
      </c>
      <c r="H9" s="1" t="s">
        <v>313</v>
      </c>
      <c r="I9" s="1" t="s">
        <v>193</v>
      </c>
      <c r="J9" s="1" t="s">
        <v>113</v>
      </c>
      <c r="K9" s="1" t="s">
        <v>314</v>
      </c>
      <c r="L9" s="1" t="s">
        <v>111</v>
      </c>
      <c r="M9" s="1" t="s">
        <v>230</v>
      </c>
      <c r="N9" s="1" t="s">
        <v>112</v>
      </c>
      <c r="O9" s="1" t="s">
        <v>113</v>
      </c>
      <c r="P9" s="1" t="s">
        <v>113</v>
      </c>
      <c r="Q9" s="1" t="s">
        <v>195</v>
      </c>
      <c r="R9" s="1" t="s">
        <v>315</v>
      </c>
      <c r="S9" s="1" t="s">
        <v>127</v>
      </c>
      <c r="T9" s="1" t="s">
        <v>106</v>
      </c>
      <c r="U9" s="1" t="s">
        <v>316</v>
      </c>
      <c r="V9" s="1" t="s">
        <v>317</v>
      </c>
      <c r="W9" s="1" t="s">
        <v>115</v>
      </c>
      <c r="X9" s="1" t="s">
        <v>113</v>
      </c>
      <c r="Y9" s="1" t="s">
        <v>127</v>
      </c>
      <c r="Z9" s="1">
        <v>100</v>
      </c>
      <c r="AA9" s="1" t="s">
        <v>116</v>
      </c>
      <c r="AB9" s="1" t="s">
        <v>128</v>
      </c>
      <c r="AC9" s="1" t="s">
        <v>128</v>
      </c>
      <c r="AD9" s="1">
        <v>0</v>
      </c>
      <c r="AE9" s="1" t="s">
        <v>314</v>
      </c>
      <c r="AF9" s="1">
        <v>40000</v>
      </c>
      <c r="AG9" s="1" t="s">
        <v>113</v>
      </c>
      <c r="AH9" s="1">
        <v>0</v>
      </c>
      <c r="AI9" s="1">
        <v>0</v>
      </c>
      <c r="AJ9" s="1">
        <v>0</v>
      </c>
      <c r="AK9" s="1" t="s">
        <v>318</v>
      </c>
      <c r="AL9" s="1">
        <v>2000</v>
      </c>
      <c r="AM9" s="1" t="s">
        <v>120</v>
      </c>
      <c r="AO9" s="1" t="s">
        <v>113</v>
      </c>
      <c r="AP9" s="1" t="s">
        <v>106</v>
      </c>
      <c r="AQ9" s="1">
        <v>7217</v>
      </c>
      <c r="AR9" s="1" t="s">
        <v>319</v>
      </c>
      <c r="AS9" s="1" t="s">
        <v>320</v>
      </c>
      <c r="AT9" s="1" t="s">
        <v>123</v>
      </c>
      <c r="AU9" s="1" t="s">
        <v>106</v>
      </c>
      <c r="AV9" s="1" t="s">
        <v>113</v>
      </c>
      <c r="AW9" s="1" t="s">
        <v>164</v>
      </c>
      <c r="AX9" s="1" t="s">
        <v>206</v>
      </c>
      <c r="AY9" s="1">
        <v>1000</v>
      </c>
      <c r="AZ9" s="1" t="s">
        <v>113</v>
      </c>
      <c r="BA9" s="1" t="s">
        <v>113</v>
      </c>
      <c r="BB9" s="1" t="s">
        <v>125</v>
      </c>
      <c r="BC9" s="1" t="s">
        <v>166</v>
      </c>
      <c r="BD9" s="1">
        <v>0</v>
      </c>
      <c r="BE9" s="1">
        <v>100</v>
      </c>
      <c r="BF9" s="1" t="s">
        <v>167</v>
      </c>
      <c r="BG9" s="1" t="s">
        <v>268</v>
      </c>
      <c r="BH9" s="1" t="s">
        <v>169</v>
      </c>
      <c r="BI9" s="1" t="s">
        <v>169</v>
      </c>
      <c r="BJ9" s="1" t="s">
        <v>208</v>
      </c>
      <c r="BK9" s="1">
        <v>80</v>
      </c>
      <c r="BL9" s="1" t="s">
        <v>270</v>
      </c>
      <c r="BM9" s="1" t="s">
        <v>271</v>
      </c>
      <c r="BN9" s="1" t="s">
        <v>143</v>
      </c>
      <c r="BO9" s="1">
        <v>4</v>
      </c>
      <c r="BP9" s="1" t="s">
        <v>124</v>
      </c>
      <c r="BQ9" s="1" t="s">
        <v>321</v>
      </c>
      <c r="BR9" s="1" t="s">
        <v>322</v>
      </c>
      <c r="BS9" s="1" t="s">
        <v>323</v>
      </c>
      <c r="BT9" s="1" t="s">
        <v>172</v>
      </c>
      <c r="BU9" s="1" t="s">
        <v>239</v>
      </c>
      <c r="BV9" s="1" t="s">
        <v>324</v>
      </c>
      <c r="BW9" s="1" t="s">
        <v>298</v>
      </c>
      <c r="BX9" s="1" t="s">
        <v>325</v>
      </c>
      <c r="BY9" s="1" t="s">
        <v>299</v>
      </c>
      <c r="BZ9" s="1" t="s">
        <v>326</v>
      </c>
      <c r="CA9" s="1">
        <v>2100</v>
      </c>
      <c r="CB9" s="1" t="s">
        <v>244</v>
      </c>
      <c r="CC9" s="1" t="s">
        <v>217</v>
      </c>
      <c r="CD9" s="1">
        <v>0</v>
      </c>
      <c r="CE9" s="1" t="s">
        <v>219</v>
      </c>
      <c r="CF9" s="1">
        <v>110080</v>
      </c>
      <c r="CG9" s="1">
        <v>0</v>
      </c>
      <c r="CH9" s="1">
        <v>55600</v>
      </c>
      <c r="CI9" s="1">
        <v>0</v>
      </c>
      <c r="CJ9" s="1">
        <v>85800</v>
      </c>
      <c r="CK9" s="1">
        <v>129000</v>
      </c>
      <c r="CL9" s="1">
        <v>13700</v>
      </c>
      <c r="CM9" s="1">
        <v>5219</v>
      </c>
      <c r="CN9" s="1">
        <v>0</v>
      </c>
      <c r="CO9" s="1">
        <v>0</v>
      </c>
      <c r="CP9" s="1">
        <v>0</v>
      </c>
      <c r="CQ9" s="1">
        <v>0</v>
      </c>
      <c r="CR9" s="1" t="s">
        <v>139</v>
      </c>
      <c r="CS9" s="1" t="s">
        <v>327</v>
      </c>
      <c r="CT9" s="1" t="s">
        <v>328</v>
      </c>
      <c r="CV9" s="1" t="s">
        <v>329</v>
      </c>
      <c r="CW9" s="1" t="s">
        <v>251</v>
      </c>
      <c r="CX9" s="1">
        <v>0</v>
      </c>
      <c r="CY9" s="1" t="s">
        <v>143</v>
      </c>
      <c r="CZ9" s="1" t="s">
        <v>144</v>
      </c>
      <c r="DA9" s="1" t="s">
        <v>145</v>
      </c>
    </row>
    <row r="10" spans="1:105" s="3" customFormat="1" ht="11.25" customHeight="1" x14ac:dyDescent="0.2">
      <c r="A10" s="1">
        <v>41</v>
      </c>
      <c r="B10" s="1" t="s">
        <v>331</v>
      </c>
      <c r="C10" s="1" t="s">
        <v>330</v>
      </c>
      <c r="D10" s="1">
        <v>10478</v>
      </c>
      <c r="E10" s="2" t="s">
        <v>4201</v>
      </c>
      <c r="F10" s="1" t="s">
        <v>113</v>
      </c>
      <c r="G10" s="1" t="s">
        <v>190</v>
      </c>
      <c r="H10" s="1" t="s">
        <v>332</v>
      </c>
      <c r="I10" s="1" t="s">
        <v>229</v>
      </c>
      <c r="J10" s="1" t="s">
        <v>229</v>
      </c>
      <c r="K10" s="1" t="s">
        <v>333</v>
      </c>
      <c r="L10" s="1" t="s">
        <v>149</v>
      </c>
      <c r="M10" s="1" t="s">
        <v>334</v>
      </c>
      <c r="N10" s="1" t="s">
        <v>335</v>
      </c>
      <c r="O10" s="1" t="s">
        <v>113</v>
      </c>
      <c r="P10" s="1" t="s">
        <v>113</v>
      </c>
      <c r="Q10" s="1" t="s">
        <v>195</v>
      </c>
      <c r="R10" s="1" t="s">
        <v>336</v>
      </c>
      <c r="S10" s="1" t="s">
        <v>337</v>
      </c>
      <c r="T10" s="1" t="s">
        <v>106</v>
      </c>
      <c r="U10" s="1" t="s">
        <v>338</v>
      </c>
      <c r="V10" s="1" t="s">
        <v>339</v>
      </c>
      <c r="W10" s="1" t="s">
        <v>199</v>
      </c>
      <c r="X10" s="1" t="s">
        <v>106</v>
      </c>
      <c r="Y10" s="1" t="s">
        <v>340</v>
      </c>
      <c r="Z10" s="1">
        <v>100</v>
      </c>
      <c r="AA10" s="1" t="s">
        <v>116</v>
      </c>
      <c r="AB10" s="1" t="s">
        <v>128</v>
      </c>
      <c r="AC10" s="1" t="s">
        <v>118</v>
      </c>
      <c r="AD10" s="1">
        <v>60</v>
      </c>
      <c r="AE10" s="1" t="s">
        <v>116</v>
      </c>
      <c r="AF10" s="1">
        <v>2311</v>
      </c>
      <c r="AG10" s="1" t="s">
        <v>113</v>
      </c>
      <c r="AH10" s="5" t="s">
        <v>220</v>
      </c>
      <c r="AI10" s="5" t="s">
        <v>220</v>
      </c>
      <c r="AJ10" s="5" t="s">
        <v>220</v>
      </c>
      <c r="AK10" s="1" t="s">
        <v>263</v>
      </c>
      <c r="AL10" s="5" t="s">
        <v>220</v>
      </c>
      <c r="AM10" s="1" t="s">
        <v>131</v>
      </c>
      <c r="AN10" s="5" t="s">
        <v>220</v>
      </c>
      <c r="AO10" s="1" t="s">
        <v>113</v>
      </c>
      <c r="AP10" s="1" t="s">
        <v>106</v>
      </c>
      <c r="AQ10" s="1" t="s">
        <v>341</v>
      </c>
      <c r="AR10" s="1" t="s">
        <v>342</v>
      </c>
      <c r="AS10" s="1" t="s">
        <v>343</v>
      </c>
      <c r="AT10" s="1" t="s">
        <v>344</v>
      </c>
      <c r="AU10" s="1" t="s">
        <v>106</v>
      </c>
      <c r="AV10" s="1" t="s">
        <v>106</v>
      </c>
      <c r="AW10" s="1" t="s">
        <v>205</v>
      </c>
      <c r="AX10" s="1" t="s">
        <v>206</v>
      </c>
      <c r="AY10" s="5" t="s">
        <v>220</v>
      </c>
      <c r="AZ10" s="1" t="s">
        <v>113</v>
      </c>
      <c r="BA10" s="1" t="s">
        <v>113</v>
      </c>
      <c r="BB10" s="1" t="s">
        <v>125</v>
      </c>
      <c r="BC10" s="1" t="s">
        <v>166</v>
      </c>
      <c r="BD10" s="1">
        <v>2307</v>
      </c>
      <c r="BE10" s="1">
        <v>100</v>
      </c>
      <c r="BF10" s="1" t="s">
        <v>167</v>
      </c>
      <c r="BG10" s="1" t="s">
        <v>268</v>
      </c>
      <c r="BH10" s="1" t="s">
        <v>345</v>
      </c>
      <c r="BI10" s="1" t="s">
        <v>346</v>
      </c>
      <c r="BJ10" s="1" t="s">
        <v>208</v>
      </c>
      <c r="BK10" s="1">
        <v>40</v>
      </c>
      <c r="BL10" s="1" t="s">
        <v>167</v>
      </c>
      <c r="BM10" s="1" t="s">
        <v>271</v>
      </c>
      <c r="BN10" s="1">
        <v>13</v>
      </c>
      <c r="BO10" s="1">
        <v>0</v>
      </c>
      <c r="BP10" s="1" t="s">
        <v>115</v>
      </c>
      <c r="BQ10" s="1" t="s">
        <v>347</v>
      </c>
      <c r="BR10" s="1" t="s">
        <v>348</v>
      </c>
      <c r="BS10" s="1" t="s">
        <v>349</v>
      </c>
      <c r="BT10" s="1" t="s">
        <v>172</v>
      </c>
      <c r="BU10" s="1" t="s">
        <v>132</v>
      </c>
      <c r="BV10" s="1" t="s">
        <v>350</v>
      </c>
      <c r="BW10" s="1" t="s">
        <v>134</v>
      </c>
      <c r="BX10" s="1" t="s">
        <v>351</v>
      </c>
      <c r="BY10" s="1" t="s">
        <v>135</v>
      </c>
      <c r="BZ10" s="1" t="s">
        <v>352</v>
      </c>
      <c r="CA10" s="1">
        <v>2311</v>
      </c>
      <c r="CB10" s="1" t="s">
        <v>244</v>
      </c>
      <c r="CC10" s="1" t="s">
        <v>217</v>
      </c>
      <c r="CD10" s="1" t="s">
        <v>353</v>
      </c>
      <c r="CE10" s="1" t="s">
        <v>219</v>
      </c>
      <c r="CF10" s="1">
        <v>357281.48</v>
      </c>
      <c r="CG10" s="6">
        <v>389000</v>
      </c>
      <c r="CH10" s="5" t="s">
        <v>220</v>
      </c>
      <c r="CI10" s="1">
        <v>42</v>
      </c>
      <c r="CJ10" s="1">
        <v>178</v>
      </c>
      <c r="CK10" s="1">
        <v>496</v>
      </c>
      <c r="CL10" s="5" t="s">
        <v>220</v>
      </c>
      <c r="CM10" s="1">
        <v>178</v>
      </c>
      <c r="CN10" s="5" t="s">
        <v>220</v>
      </c>
      <c r="CO10" s="5" t="s">
        <v>220</v>
      </c>
      <c r="CP10" s="5" t="s">
        <v>220</v>
      </c>
      <c r="CQ10" s="5" t="s">
        <v>220</v>
      </c>
      <c r="CR10" s="1" t="s">
        <v>139</v>
      </c>
      <c r="CS10" s="1" t="s">
        <v>308</v>
      </c>
      <c r="CT10" s="1" t="s">
        <v>354</v>
      </c>
      <c r="CV10" s="1" t="s">
        <v>355</v>
      </c>
      <c r="CW10" s="1" t="s">
        <v>141</v>
      </c>
      <c r="CX10" s="1" t="s">
        <v>356</v>
      </c>
      <c r="CY10" s="1" t="s">
        <v>143</v>
      </c>
      <c r="CZ10" s="1" t="s">
        <v>144</v>
      </c>
      <c r="DA10" s="1" t="s">
        <v>145</v>
      </c>
    </row>
    <row r="11" spans="1:105" s="3" customFormat="1" ht="11.25" customHeight="1" x14ac:dyDescent="0.2">
      <c r="A11" s="1">
        <v>41</v>
      </c>
      <c r="B11" s="1" t="s">
        <v>358</v>
      </c>
      <c r="C11" s="1" t="s">
        <v>357</v>
      </c>
      <c r="D11" s="1">
        <v>4736</v>
      </c>
      <c r="E11" s="2" t="s">
        <v>4201</v>
      </c>
      <c r="F11" s="1" t="s">
        <v>106</v>
      </c>
      <c r="G11" s="1" t="s">
        <v>254</v>
      </c>
      <c r="H11" s="1" t="s">
        <v>255</v>
      </c>
      <c r="I11" s="1" t="s">
        <v>109</v>
      </c>
      <c r="J11" s="1" t="s">
        <v>106</v>
      </c>
      <c r="K11" s="1" t="s">
        <v>359</v>
      </c>
      <c r="L11" s="1" t="s">
        <v>111</v>
      </c>
      <c r="M11" s="1" t="s">
        <v>111</v>
      </c>
      <c r="N11" s="1" t="s">
        <v>112</v>
      </c>
      <c r="O11" s="1" t="s">
        <v>113</v>
      </c>
      <c r="P11" s="1" t="s">
        <v>113</v>
      </c>
      <c r="Q11" s="1" t="s">
        <v>195</v>
      </c>
      <c r="R11" s="5" t="s">
        <v>360</v>
      </c>
      <c r="S11" s="1">
        <v>3902012</v>
      </c>
      <c r="T11" s="1" t="s">
        <v>106</v>
      </c>
      <c r="U11" s="1" t="s">
        <v>361</v>
      </c>
      <c r="W11" s="1" t="s">
        <v>115</v>
      </c>
      <c r="Z11" s="1">
        <v>100</v>
      </c>
      <c r="AA11" s="1" t="s">
        <v>116</v>
      </c>
      <c r="AB11" s="1" t="s">
        <v>128</v>
      </c>
      <c r="AC11" s="1" t="s">
        <v>128</v>
      </c>
      <c r="AD11" s="1">
        <v>0</v>
      </c>
      <c r="AE11" s="1" t="s">
        <v>114</v>
      </c>
      <c r="AF11" s="1" t="s">
        <v>362</v>
      </c>
      <c r="AG11" s="1" t="s">
        <v>113</v>
      </c>
      <c r="AH11" s="1">
        <v>0</v>
      </c>
      <c r="AK11" s="1" t="s">
        <v>232</v>
      </c>
      <c r="AM11" s="1" t="s">
        <v>363</v>
      </c>
      <c r="AP11" s="1" t="s">
        <v>113</v>
      </c>
      <c r="AQ11" s="1" t="s">
        <v>114</v>
      </c>
      <c r="AR11" s="1" t="s">
        <v>114</v>
      </c>
      <c r="AS11" s="1" t="s">
        <v>114</v>
      </c>
      <c r="AU11" s="1" t="s">
        <v>113</v>
      </c>
      <c r="AV11" s="1" t="s">
        <v>113</v>
      </c>
      <c r="AW11" s="1" t="s">
        <v>164</v>
      </c>
      <c r="AY11" s="1">
        <v>0</v>
      </c>
      <c r="AZ11" s="1" t="s">
        <v>113</v>
      </c>
      <c r="BA11" s="1" t="s">
        <v>113</v>
      </c>
      <c r="BB11" s="1" t="s">
        <v>125</v>
      </c>
      <c r="BD11" s="1">
        <v>0</v>
      </c>
      <c r="BE11" s="1">
        <v>100</v>
      </c>
      <c r="BF11" s="1" t="s">
        <v>167</v>
      </c>
      <c r="BG11" s="1" t="s">
        <v>116</v>
      </c>
      <c r="BJ11" s="1" t="s">
        <v>128</v>
      </c>
      <c r="BK11" s="1">
        <v>0</v>
      </c>
      <c r="BL11" s="1" t="s">
        <v>127</v>
      </c>
      <c r="BN11" s="1">
        <v>6</v>
      </c>
      <c r="BP11" s="1" t="s">
        <v>115</v>
      </c>
      <c r="BQ11" s="1" t="s">
        <v>359</v>
      </c>
      <c r="BR11" s="1" t="s">
        <v>364</v>
      </c>
      <c r="BS11" s="1" t="s">
        <v>365</v>
      </c>
      <c r="BT11" s="1" t="s">
        <v>172</v>
      </c>
      <c r="BU11" s="1" t="s">
        <v>132</v>
      </c>
      <c r="BV11" s="1" t="s">
        <v>174</v>
      </c>
      <c r="BW11" s="1" t="s">
        <v>134</v>
      </c>
      <c r="BX11" s="1" t="s">
        <v>114</v>
      </c>
      <c r="BY11" s="1" t="s">
        <v>135</v>
      </c>
      <c r="BZ11" s="1" t="s">
        <v>366</v>
      </c>
      <c r="CA11" s="1" t="s">
        <v>362</v>
      </c>
      <c r="CB11" s="1" t="s">
        <v>244</v>
      </c>
      <c r="CC11" s="1" t="s">
        <v>217</v>
      </c>
      <c r="CF11" s="1" t="s">
        <v>367</v>
      </c>
      <c r="CG11" s="1">
        <v>339830.84</v>
      </c>
      <c r="CH11" s="1" t="s">
        <v>367</v>
      </c>
      <c r="CI11" s="1">
        <v>0</v>
      </c>
      <c r="CJ11" s="1">
        <v>300</v>
      </c>
      <c r="CK11" s="1" t="s">
        <v>367</v>
      </c>
      <c r="CL11" s="1">
        <v>0</v>
      </c>
      <c r="CM11" s="1">
        <v>0</v>
      </c>
      <c r="CN11" s="1">
        <v>0</v>
      </c>
      <c r="CO11" s="1">
        <v>0</v>
      </c>
      <c r="CP11" s="1">
        <v>0</v>
      </c>
      <c r="CQ11" s="1">
        <v>0</v>
      </c>
      <c r="CS11" s="1" t="s">
        <v>140</v>
      </c>
      <c r="CT11" s="1" t="s">
        <v>114</v>
      </c>
      <c r="CW11" s="1" t="s">
        <v>141</v>
      </c>
      <c r="CX11" s="1" t="s">
        <v>368</v>
      </c>
      <c r="CY11" s="1" t="s">
        <v>114</v>
      </c>
      <c r="CZ11" s="1" t="s">
        <v>144</v>
      </c>
      <c r="DA11" s="1" t="s">
        <v>145</v>
      </c>
    </row>
    <row r="12" spans="1:105" s="3" customFormat="1" ht="11.25" customHeight="1" x14ac:dyDescent="0.2">
      <c r="A12" s="1">
        <v>41</v>
      </c>
      <c r="B12" s="1" t="s">
        <v>370</v>
      </c>
      <c r="C12" s="1" t="s">
        <v>369</v>
      </c>
      <c r="D12" s="1">
        <v>2965</v>
      </c>
      <c r="E12" s="2" t="s">
        <v>4201</v>
      </c>
      <c r="F12" s="1" t="s">
        <v>106</v>
      </c>
      <c r="G12" s="1" t="s">
        <v>371</v>
      </c>
      <c r="H12" s="1" t="s">
        <v>372</v>
      </c>
      <c r="I12" s="1" t="s">
        <v>193</v>
      </c>
      <c r="J12" s="1" t="s">
        <v>113</v>
      </c>
      <c r="L12" s="1" t="s">
        <v>111</v>
      </c>
      <c r="M12" s="1" t="s">
        <v>111</v>
      </c>
      <c r="N12" s="1" t="s">
        <v>112</v>
      </c>
      <c r="O12" s="1" t="s">
        <v>106</v>
      </c>
      <c r="P12" s="1" t="s">
        <v>113</v>
      </c>
      <c r="Q12" s="1" t="s">
        <v>152</v>
      </c>
      <c r="R12" s="1" t="s">
        <v>114</v>
      </c>
      <c r="S12" s="1" t="s">
        <v>373</v>
      </c>
      <c r="T12" s="1" t="s">
        <v>106</v>
      </c>
      <c r="U12" s="1" t="s">
        <v>374</v>
      </c>
      <c r="V12" s="1" t="s">
        <v>375</v>
      </c>
      <c r="W12" s="1" t="s">
        <v>115</v>
      </c>
      <c r="X12" s="1" t="s">
        <v>113</v>
      </c>
      <c r="Y12" s="1" t="s">
        <v>373</v>
      </c>
      <c r="Z12" s="1">
        <v>100</v>
      </c>
      <c r="AA12" s="1" t="s">
        <v>116</v>
      </c>
      <c r="AB12" s="1" t="s">
        <v>128</v>
      </c>
      <c r="AC12" s="1" t="s">
        <v>128</v>
      </c>
      <c r="AD12" s="1">
        <v>0</v>
      </c>
      <c r="AE12" s="1" t="s">
        <v>373</v>
      </c>
      <c r="AF12" s="1" t="s">
        <v>376</v>
      </c>
      <c r="AG12" s="1" t="s">
        <v>106</v>
      </c>
      <c r="AH12" s="1" t="s">
        <v>377</v>
      </c>
      <c r="AI12" s="1" t="s">
        <v>378</v>
      </c>
      <c r="AJ12" s="5" t="s">
        <v>379</v>
      </c>
      <c r="AK12" s="1" t="s">
        <v>232</v>
      </c>
      <c r="AM12" s="1" t="s">
        <v>380</v>
      </c>
      <c r="AO12" s="1" t="s">
        <v>113</v>
      </c>
      <c r="AP12" s="1" t="s">
        <v>106</v>
      </c>
      <c r="AQ12" s="1">
        <v>334555</v>
      </c>
      <c r="AR12" s="1" t="s">
        <v>381</v>
      </c>
      <c r="AS12" s="1" t="s">
        <v>382</v>
      </c>
      <c r="AT12" s="1" t="s">
        <v>123</v>
      </c>
      <c r="AU12" s="1" t="s">
        <v>113</v>
      </c>
      <c r="AV12" s="1" t="s">
        <v>113</v>
      </c>
      <c r="AW12" s="1" t="s">
        <v>164</v>
      </c>
      <c r="AY12" s="1">
        <v>0</v>
      </c>
      <c r="AZ12" s="1" t="s">
        <v>113</v>
      </c>
      <c r="BA12" s="1" t="s">
        <v>113</v>
      </c>
      <c r="BB12" s="1" t="s">
        <v>125</v>
      </c>
      <c r="BD12" s="1">
        <v>0</v>
      </c>
      <c r="BE12" s="1">
        <v>100</v>
      </c>
      <c r="BF12" s="1" t="s">
        <v>167</v>
      </c>
      <c r="BG12" s="1" t="s">
        <v>383</v>
      </c>
      <c r="BH12" s="1" t="s">
        <v>207</v>
      </c>
      <c r="BI12" s="1" t="s">
        <v>269</v>
      </c>
      <c r="BJ12" s="1" t="s">
        <v>384</v>
      </c>
      <c r="BK12" s="1">
        <v>100</v>
      </c>
      <c r="BL12" s="1" t="s">
        <v>385</v>
      </c>
      <c r="BM12" s="1" t="s">
        <v>386</v>
      </c>
      <c r="BN12" s="5" t="s">
        <v>387</v>
      </c>
      <c r="BP12" s="1" t="s">
        <v>115</v>
      </c>
      <c r="BQ12" s="1" t="s">
        <v>388</v>
      </c>
      <c r="BR12" s="1" t="s">
        <v>389</v>
      </c>
      <c r="BS12" s="1" t="s">
        <v>390</v>
      </c>
      <c r="BT12" s="1" t="s">
        <v>172</v>
      </c>
      <c r="BU12" s="1" t="s">
        <v>132</v>
      </c>
      <c r="BV12" s="1" t="s">
        <v>174</v>
      </c>
      <c r="BW12" s="1" t="s">
        <v>134</v>
      </c>
      <c r="BX12" s="1" t="s">
        <v>114</v>
      </c>
      <c r="BY12" s="1" t="s">
        <v>135</v>
      </c>
      <c r="BZ12" s="4">
        <v>274599</v>
      </c>
      <c r="CA12" s="1" t="s">
        <v>376</v>
      </c>
      <c r="CB12" s="1" t="s">
        <v>244</v>
      </c>
      <c r="CC12" s="1" t="s">
        <v>217</v>
      </c>
      <c r="CE12" s="1" t="s">
        <v>219</v>
      </c>
      <c r="CF12" s="1" t="s">
        <v>391</v>
      </c>
      <c r="CG12" s="1" t="s">
        <v>392</v>
      </c>
      <c r="CH12" s="1">
        <v>45000</v>
      </c>
      <c r="CI12" s="1">
        <v>0</v>
      </c>
      <c r="CJ12" s="1">
        <v>390</v>
      </c>
      <c r="CK12" s="1">
        <v>0</v>
      </c>
      <c r="CL12" s="1" t="s">
        <v>393</v>
      </c>
      <c r="CM12" s="1">
        <v>0</v>
      </c>
      <c r="CN12" s="1">
        <v>0</v>
      </c>
      <c r="CO12" s="1">
        <v>0</v>
      </c>
      <c r="CP12" s="1">
        <v>0</v>
      </c>
      <c r="CQ12" s="1">
        <v>0</v>
      </c>
      <c r="CR12" s="1" t="s">
        <v>139</v>
      </c>
      <c r="CS12" s="1" t="s">
        <v>308</v>
      </c>
      <c r="CT12" s="1" t="s">
        <v>394</v>
      </c>
      <c r="CW12" s="1" t="s">
        <v>141</v>
      </c>
      <c r="CX12" s="1" t="s">
        <v>395</v>
      </c>
      <c r="CY12" s="1" t="s">
        <v>143</v>
      </c>
      <c r="CZ12" s="1" t="s">
        <v>144</v>
      </c>
      <c r="DA12" s="1" t="s">
        <v>145</v>
      </c>
    </row>
    <row r="13" spans="1:105" s="3" customFormat="1" ht="11.25" customHeight="1" x14ac:dyDescent="0.2">
      <c r="A13" s="1">
        <v>41</v>
      </c>
      <c r="B13" s="1" t="s">
        <v>397</v>
      </c>
      <c r="C13" s="1" t="s">
        <v>396</v>
      </c>
      <c r="D13" s="1">
        <v>20044</v>
      </c>
      <c r="E13" s="2" t="s">
        <v>4201</v>
      </c>
      <c r="F13" s="1" t="s">
        <v>106</v>
      </c>
      <c r="G13" s="1" t="s">
        <v>398</v>
      </c>
      <c r="H13" s="1" t="s">
        <v>399</v>
      </c>
      <c r="I13" s="1" t="s">
        <v>400</v>
      </c>
      <c r="J13" s="1" t="s">
        <v>113</v>
      </c>
      <c r="L13" s="1" t="s">
        <v>401</v>
      </c>
      <c r="M13" s="1" t="s">
        <v>402</v>
      </c>
      <c r="N13" s="1" t="s">
        <v>403</v>
      </c>
      <c r="O13" s="1" t="s">
        <v>106</v>
      </c>
      <c r="P13" s="1" t="s">
        <v>113</v>
      </c>
      <c r="Q13" s="1" t="s">
        <v>195</v>
      </c>
      <c r="R13" s="1" t="s">
        <v>404</v>
      </c>
      <c r="S13" s="1" t="s">
        <v>127</v>
      </c>
      <c r="T13" s="1" t="s">
        <v>106</v>
      </c>
      <c r="U13" s="1" t="s">
        <v>405</v>
      </c>
      <c r="V13" s="1" t="s">
        <v>406</v>
      </c>
      <c r="W13" s="1" t="s">
        <v>115</v>
      </c>
      <c r="X13" s="1" t="s">
        <v>106</v>
      </c>
      <c r="Y13" s="1" t="s">
        <v>407</v>
      </c>
      <c r="Z13" s="1">
        <v>100</v>
      </c>
      <c r="AA13" s="1" t="s">
        <v>132</v>
      </c>
      <c r="AB13" s="1" t="s">
        <v>128</v>
      </c>
      <c r="AC13" s="1" t="s">
        <v>118</v>
      </c>
      <c r="AD13" s="1">
        <v>28</v>
      </c>
      <c r="AE13" s="1" t="s">
        <v>132</v>
      </c>
      <c r="AF13" s="1">
        <v>5030</v>
      </c>
      <c r="AG13" s="1" t="s">
        <v>113</v>
      </c>
      <c r="AH13" s="1">
        <v>0</v>
      </c>
      <c r="AI13" s="1">
        <v>0</v>
      </c>
      <c r="AJ13" s="1">
        <v>0</v>
      </c>
      <c r="AK13" s="1" t="s">
        <v>408</v>
      </c>
      <c r="AL13" s="1">
        <v>0</v>
      </c>
      <c r="AM13" s="1" t="s">
        <v>363</v>
      </c>
      <c r="AO13" s="1" t="s">
        <v>113</v>
      </c>
      <c r="AP13" s="1" t="s">
        <v>113</v>
      </c>
      <c r="AQ13" s="1" t="s">
        <v>409</v>
      </c>
      <c r="AR13" s="1" t="s">
        <v>409</v>
      </c>
      <c r="AS13" s="1" t="s">
        <v>409</v>
      </c>
      <c r="AT13" s="1" t="s">
        <v>123</v>
      </c>
      <c r="AU13" s="1" t="s">
        <v>113</v>
      </c>
      <c r="AV13" s="1" t="s">
        <v>113</v>
      </c>
      <c r="AW13" s="1" t="s">
        <v>164</v>
      </c>
      <c r="AX13" s="1" t="s">
        <v>165</v>
      </c>
      <c r="AY13" s="1">
        <v>0</v>
      </c>
      <c r="AZ13" s="1" t="s">
        <v>113</v>
      </c>
      <c r="BA13" s="1" t="s">
        <v>113</v>
      </c>
      <c r="BB13" s="1" t="s">
        <v>125</v>
      </c>
      <c r="BC13" s="1" t="s">
        <v>166</v>
      </c>
      <c r="BD13" s="1">
        <v>0</v>
      </c>
      <c r="BE13" s="1">
        <v>100</v>
      </c>
      <c r="BF13" s="1" t="s">
        <v>167</v>
      </c>
      <c r="BG13" s="1" t="s">
        <v>383</v>
      </c>
      <c r="BH13" s="1" t="s">
        <v>269</v>
      </c>
      <c r="BI13" s="1" t="s">
        <v>269</v>
      </c>
      <c r="BJ13" s="1" t="s">
        <v>208</v>
      </c>
      <c r="BK13" s="1">
        <v>28</v>
      </c>
      <c r="BL13" s="1" t="s">
        <v>167</v>
      </c>
      <c r="BM13" s="1" t="s">
        <v>386</v>
      </c>
      <c r="BN13" s="1" t="s">
        <v>410</v>
      </c>
      <c r="BO13" s="1" t="s">
        <v>410</v>
      </c>
      <c r="BP13" s="1" t="s">
        <v>115</v>
      </c>
      <c r="BQ13" s="1" t="s">
        <v>411</v>
      </c>
      <c r="BR13" s="1" t="s">
        <v>127</v>
      </c>
      <c r="BS13" s="1" t="s">
        <v>412</v>
      </c>
      <c r="BT13" s="1" t="s">
        <v>172</v>
      </c>
      <c r="BU13" s="1" t="s">
        <v>132</v>
      </c>
      <c r="BV13" s="1" t="s">
        <v>413</v>
      </c>
      <c r="BW13" s="1" t="s">
        <v>134</v>
      </c>
      <c r="BX13" s="1" t="s">
        <v>414</v>
      </c>
      <c r="BY13" s="1" t="s">
        <v>299</v>
      </c>
      <c r="BZ13" s="1" t="s">
        <v>415</v>
      </c>
      <c r="CA13" s="1">
        <v>5030</v>
      </c>
      <c r="CB13" s="1" t="s">
        <v>176</v>
      </c>
      <c r="CC13" s="1" t="s">
        <v>301</v>
      </c>
      <c r="CD13" s="1" t="s">
        <v>416</v>
      </c>
      <c r="CE13" s="1" t="s">
        <v>179</v>
      </c>
      <c r="CF13" s="6">
        <v>1991171.64</v>
      </c>
      <c r="CG13" s="6">
        <v>2925117.96</v>
      </c>
      <c r="CH13" s="1">
        <v>397.9</v>
      </c>
      <c r="CI13" s="1">
        <v>0</v>
      </c>
      <c r="CJ13" s="1">
        <v>146.34</v>
      </c>
      <c r="CK13" s="1" t="s">
        <v>417</v>
      </c>
      <c r="CL13" s="1">
        <v>0</v>
      </c>
      <c r="CM13" s="1">
        <v>0</v>
      </c>
      <c r="CN13" s="1">
        <v>0</v>
      </c>
      <c r="CO13" s="1">
        <v>0</v>
      </c>
      <c r="CP13" s="1">
        <v>0</v>
      </c>
      <c r="CQ13" s="1">
        <v>0</v>
      </c>
      <c r="CR13" s="1" t="s">
        <v>418</v>
      </c>
      <c r="CS13" s="1" t="s">
        <v>140</v>
      </c>
      <c r="CT13" s="1" t="s">
        <v>419</v>
      </c>
      <c r="CW13" s="1" t="s">
        <v>420</v>
      </c>
      <c r="CX13" s="1" t="s">
        <v>421</v>
      </c>
      <c r="CY13" s="1" t="s">
        <v>143</v>
      </c>
      <c r="CZ13" s="1" t="s">
        <v>144</v>
      </c>
      <c r="DA13" s="1" t="s">
        <v>145</v>
      </c>
    </row>
    <row r="14" spans="1:105" s="3" customFormat="1" ht="11.25" customHeight="1" x14ac:dyDescent="0.2">
      <c r="A14" s="1">
        <v>41</v>
      </c>
      <c r="B14" s="1" t="s">
        <v>423</v>
      </c>
      <c r="C14" s="1" t="s">
        <v>422</v>
      </c>
      <c r="D14" s="1">
        <v>3332</v>
      </c>
      <c r="E14" s="2" t="s">
        <v>4201</v>
      </c>
      <c r="F14" s="1" t="s">
        <v>106</v>
      </c>
      <c r="G14" s="1" t="s">
        <v>398</v>
      </c>
      <c r="H14" s="1" t="s">
        <v>424</v>
      </c>
      <c r="I14" s="1" t="s">
        <v>193</v>
      </c>
      <c r="J14" s="1" t="s">
        <v>113</v>
      </c>
      <c r="L14" s="1" t="s">
        <v>111</v>
      </c>
      <c r="M14" s="1" t="s">
        <v>192</v>
      </c>
      <c r="N14" s="1" t="s">
        <v>111</v>
      </c>
      <c r="O14" s="1" t="s">
        <v>113</v>
      </c>
      <c r="P14" s="1" t="s">
        <v>113</v>
      </c>
      <c r="Q14" s="1" t="s">
        <v>195</v>
      </c>
      <c r="R14" s="7" t="s">
        <v>425</v>
      </c>
      <c r="S14" s="7" t="s">
        <v>426</v>
      </c>
      <c r="T14" s="1" t="s">
        <v>106</v>
      </c>
      <c r="U14" s="7" t="s">
        <v>427</v>
      </c>
      <c r="V14" s="1" t="s">
        <v>428</v>
      </c>
      <c r="W14" s="1" t="s">
        <v>115</v>
      </c>
      <c r="X14" s="1" t="s">
        <v>113</v>
      </c>
      <c r="Y14" s="1" t="s">
        <v>114</v>
      </c>
      <c r="Z14" s="1">
        <v>100</v>
      </c>
      <c r="AA14" s="1" t="s">
        <v>116</v>
      </c>
      <c r="AB14" s="1" t="s">
        <v>128</v>
      </c>
      <c r="AC14" s="1" t="s">
        <v>128</v>
      </c>
      <c r="AD14" s="1">
        <v>0</v>
      </c>
      <c r="AE14" s="1" t="s">
        <v>114</v>
      </c>
      <c r="AF14" s="1">
        <v>514</v>
      </c>
      <c r="AG14" s="1" t="s">
        <v>113</v>
      </c>
      <c r="AH14" s="1">
        <v>20</v>
      </c>
      <c r="AI14" s="1">
        <v>10</v>
      </c>
      <c r="AJ14" s="1">
        <v>70</v>
      </c>
      <c r="AK14" s="1" t="s">
        <v>200</v>
      </c>
      <c r="AL14" s="1">
        <v>150</v>
      </c>
      <c r="AM14" s="1" t="s">
        <v>363</v>
      </c>
      <c r="AN14" s="1">
        <v>0</v>
      </c>
      <c r="AO14" s="1" t="s">
        <v>113</v>
      </c>
      <c r="AP14" s="1" t="s">
        <v>106</v>
      </c>
      <c r="AQ14" s="1" t="s">
        <v>429</v>
      </c>
      <c r="AR14" s="1" t="s">
        <v>430</v>
      </c>
      <c r="AS14" s="1" t="s">
        <v>431</v>
      </c>
      <c r="AT14" s="1" t="s">
        <v>204</v>
      </c>
      <c r="AU14" s="1" t="s">
        <v>113</v>
      </c>
      <c r="AV14" s="1" t="s">
        <v>113</v>
      </c>
      <c r="AW14" s="1" t="s">
        <v>164</v>
      </c>
      <c r="AX14" s="1" t="s">
        <v>165</v>
      </c>
      <c r="AY14" s="1">
        <v>50</v>
      </c>
      <c r="AZ14" s="1" t="s">
        <v>113</v>
      </c>
      <c r="BA14" s="1" t="s">
        <v>113</v>
      </c>
      <c r="BB14" s="1" t="s">
        <v>125</v>
      </c>
      <c r="BD14" s="5" t="s">
        <v>220</v>
      </c>
      <c r="BE14" s="1">
        <v>100</v>
      </c>
      <c r="BF14" s="1" t="s">
        <v>167</v>
      </c>
      <c r="BG14" s="1" t="s">
        <v>116</v>
      </c>
      <c r="BH14" s="1" t="s">
        <v>168</v>
      </c>
      <c r="BI14" s="1" t="s">
        <v>168</v>
      </c>
      <c r="BJ14" s="1" t="s">
        <v>128</v>
      </c>
      <c r="BK14" s="1">
        <v>0</v>
      </c>
      <c r="BL14" s="1" t="s">
        <v>127</v>
      </c>
      <c r="BM14" s="1" t="s">
        <v>114</v>
      </c>
      <c r="BN14" s="1" t="s">
        <v>430</v>
      </c>
      <c r="BO14" s="1" t="s">
        <v>430</v>
      </c>
      <c r="BP14" s="1" t="s">
        <v>115</v>
      </c>
      <c r="BQ14" s="1" t="s">
        <v>432</v>
      </c>
      <c r="BR14" s="1" t="s">
        <v>433</v>
      </c>
      <c r="BS14" s="1" t="s">
        <v>434</v>
      </c>
      <c r="BT14" s="1" t="s">
        <v>172</v>
      </c>
      <c r="BU14" s="1" t="s">
        <v>132</v>
      </c>
      <c r="BV14" s="1" t="s">
        <v>435</v>
      </c>
      <c r="BW14" s="1" t="s">
        <v>134</v>
      </c>
      <c r="BX14" s="1" t="s">
        <v>436</v>
      </c>
      <c r="BY14" s="1" t="s">
        <v>135</v>
      </c>
      <c r="BZ14" s="1" t="s">
        <v>437</v>
      </c>
      <c r="CA14" s="1">
        <v>514</v>
      </c>
      <c r="CB14" s="1" t="s">
        <v>244</v>
      </c>
      <c r="CC14" s="1" t="s">
        <v>217</v>
      </c>
      <c r="CD14" s="1" t="s">
        <v>438</v>
      </c>
      <c r="CE14" s="1" t="s">
        <v>179</v>
      </c>
      <c r="CF14" s="1">
        <v>172243.35</v>
      </c>
      <c r="CG14" s="1">
        <v>162686.68</v>
      </c>
      <c r="CH14" s="5" t="s">
        <v>220</v>
      </c>
      <c r="CI14" s="5" t="s">
        <v>220</v>
      </c>
      <c r="CJ14" s="5" t="s">
        <v>220</v>
      </c>
      <c r="CK14" s="1">
        <v>160</v>
      </c>
      <c r="CL14" s="5" t="s">
        <v>220</v>
      </c>
      <c r="CM14" s="5" t="s">
        <v>220</v>
      </c>
      <c r="CN14" s="5" t="s">
        <v>220</v>
      </c>
      <c r="CO14" s="5" t="s">
        <v>220</v>
      </c>
      <c r="CP14" s="5" t="s">
        <v>220</v>
      </c>
      <c r="CQ14" s="5" t="s">
        <v>220</v>
      </c>
      <c r="CR14" s="1" t="s">
        <v>139</v>
      </c>
      <c r="CS14" s="1" t="s">
        <v>327</v>
      </c>
      <c r="CT14" s="1" t="s">
        <v>223</v>
      </c>
      <c r="CV14" s="1" t="s">
        <v>439</v>
      </c>
      <c r="CW14" s="1" t="s">
        <v>141</v>
      </c>
      <c r="CX14" s="1" t="s">
        <v>440</v>
      </c>
      <c r="CY14" s="1" t="s">
        <v>430</v>
      </c>
      <c r="CZ14" s="1" t="s">
        <v>144</v>
      </c>
      <c r="DA14" s="1" t="s">
        <v>145</v>
      </c>
    </row>
    <row r="15" spans="1:105" s="3" customFormat="1" ht="11.25" customHeight="1" x14ac:dyDescent="0.2">
      <c r="A15" s="1">
        <v>41</v>
      </c>
      <c r="B15" s="1" t="s">
        <v>442</v>
      </c>
      <c r="C15" s="1" t="s">
        <v>441</v>
      </c>
      <c r="D15" s="1">
        <v>18223</v>
      </c>
      <c r="E15" s="2" t="s">
        <v>4201</v>
      </c>
      <c r="F15" s="1" t="s">
        <v>113</v>
      </c>
      <c r="G15" s="1" t="s">
        <v>190</v>
      </c>
      <c r="H15" s="1" t="s">
        <v>313</v>
      </c>
      <c r="I15" s="1" t="s">
        <v>193</v>
      </c>
      <c r="J15" s="1" t="s">
        <v>229</v>
      </c>
      <c r="K15" s="1" t="s">
        <v>313</v>
      </c>
      <c r="L15" s="1" t="s">
        <v>111</v>
      </c>
      <c r="M15" s="1" t="s">
        <v>257</v>
      </c>
      <c r="N15" s="1" t="s">
        <v>443</v>
      </c>
      <c r="O15" s="1" t="s">
        <v>113</v>
      </c>
      <c r="P15" s="1" t="s">
        <v>113</v>
      </c>
      <c r="Q15" s="1" t="s">
        <v>195</v>
      </c>
      <c r="R15" s="1" t="s">
        <v>444</v>
      </c>
      <c r="S15" s="1" t="s">
        <v>445</v>
      </c>
      <c r="T15" s="1" t="s">
        <v>106</v>
      </c>
      <c r="U15" s="1" t="s">
        <v>446</v>
      </c>
      <c r="V15" s="1" t="s">
        <v>447</v>
      </c>
      <c r="W15" s="1" t="s">
        <v>115</v>
      </c>
      <c r="X15" s="1" t="s">
        <v>106</v>
      </c>
      <c r="Y15" s="1" t="s">
        <v>448</v>
      </c>
      <c r="Z15" s="1">
        <v>100</v>
      </c>
      <c r="AA15" s="1" t="s">
        <v>116</v>
      </c>
      <c r="AB15" s="1" t="s">
        <v>128</v>
      </c>
      <c r="AC15" s="1" t="s">
        <v>118</v>
      </c>
      <c r="AD15" s="1">
        <v>80</v>
      </c>
      <c r="AE15" s="1" t="s">
        <v>116</v>
      </c>
      <c r="AF15" s="1">
        <v>760</v>
      </c>
      <c r="AG15" s="1" t="s">
        <v>106</v>
      </c>
      <c r="AH15" s="1">
        <v>50</v>
      </c>
      <c r="AI15" s="1">
        <v>8</v>
      </c>
      <c r="AJ15" s="1">
        <v>15</v>
      </c>
      <c r="AK15" s="1" t="s">
        <v>449</v>
      </c>
      <c r="AL15" s="1">
        <v>500</v>
      </c>
      <c r="AM15" s="1" t="s">
        <v>172</v>
      </c>
      <c r="AN15" s="1">
        <v>500</v>
      </c>
      <c r="AO15" s="1" t="s">
        <v>113</v>
      </c>
      <c r="AP15" s="1" t="s">
        <v>113</v>
      </c>
      <c r="AQ15" s="1" t="s">
        <v>127</v>
      </c>
      <c r="AR15" s="1" t="s">
        <v>127</v>
      </c>
      <c r="AS15" s="1" t="s">
        <v>127</v>
      </c>
      <c r="AT15" s="1" t="s">
        <v>123</v>
      </c>
      <c r="AU15" s="1" t="s">
        <v>113</v>
      </c>
      <c r="AV15" s="1" t="s">
        <v>113</v>
      </c>
      <c r="AW15" s="1" t="s">
        <v>124</v>
      </c>
      <c r="AX15" s="1" t="s">
        <v>165</v>
      </c>
      <c r="AY15" s="1">
        <v>0</v>
      </c>
      <c r="AZ15" s="1" t="s">
        <v>113</v>
      </c>
      <c r="BA15" s="1" t="s">
        <v>113</v>
      </c>
      <c r="BB15" s="1" t="s">
        <v>125</v>
      </c>
      <c r="BC15" s="1" t="s">
        <v>166</v>
      </c>
      <c r="BD15" s="1">
        <v>0</v>
      </c>
      <c r="BE15" s="1">
        <v>100</v>
      </c>
      <c r="BF15" s="1" t="s">
        <v>167</v>
      </c>
      <c r="BG15" s="1" t="s">
        <v>383</v>
      </c>
      <c r="BH15" s="1" t="s">
        <v>169</v>
      </c>
      <c r="BI15" s="1" t="s">
        <v>450</v>
      </c>
      <c r="BJ15" s="1" t="s">
        <v>208</v>
      </c>
      <c r="BK15" s="1">
        <v>80</v>
      </c>
      <c r="BL15" s="1" t="s">
        <v>167</v>
      </c>
      <c r="BM15" s="1" t="s">
        <v>210</v>
      </c>
      <c r="BN15" s="1">
        <v>16</v>
      </c>
      <c r="BO15" s="5" t="s">
        <v>220</v>
      </c>
      <c r="BP15" s="1" t="s">
        <v>115</v>
      </c>
      <c r="BQ15" s="1" t="s">
        <v>451</v>
      </c>
      <c r="BR15" s="1" t="s">
        <v>452</v>
      </c>
      <c r="BS15" s="1" t="s">
        <v>453</v>
      </c>
      <c r="BT15" s="1" t="s">
        <v>172</v>
      </c>
      <c r="BU15" s="1" t="s">
        <v>132</v>
      </c>
      <c r="BV15" s="1" t="s">
        <v>174</v>
      </c>
      <c r="BW15" s="1" t="s">
        <v>134</v>
      </c>
      <c r="BX15" s="1" t="s">
        <v>325</v>
      </c>
      <c r="BY15" s="1" t="s">
        <v>454</v>
      </c>
      <c r="BZ15" s="1" t="s">
        <v>455</v>
      </c>
      <c r="CA15" s="1">
        <v>274</v>
      </c>
      <c r="CB15" s="1" t="s">
        <v>456</v>
      </c>
      <c r="CC15" s="1" t="s">
        <v>177</v>
      </c>
      <c r="CD15" s="1" t="s">
        <v>457</v>
      </c>
      <c r="CE15" s="1" t="s">
        <v>458</v>
      </c>
      <c r="CF15" s="6">
        <v>826280</v>
      </c>
      <c r="CG15" s="6">
        <v>1300000</v>
      </c>
      <c r="CH15" s="1">
        <v>90</v>
      </c>
      <c r="CI15" s="5" t="s">
        <v>220</v>
      </c>
      <c r="CJ15" s="1">
        <v>181.94</v>
      </c>
      <c r="CK15" s="1">
        <v>50</v>
      </c>
      <c r="CL15" s="1">
        <v>100</v>
      </c>
      <c r="CM15" s="1">
        <v>181</v>
      </c>
      <c r="CN15" s="5" t="s">
        <v>220</v>
      </c>
      <c r="CO15" s="5" t="s">
        <v>220</v>
      </c>
      <c r="CP15" s="5" t="s">
        <v>220</v>
      </c>
      <c r="CQ15" s="5" t="s">
        <v>220</v>
      </c>
      <c r="CR15" s="1" t="s">
        <v>139</v>
      </c>
      <c r="CS15" s="1" t="s">
        <v>140</v>
      </c>
      <c r="CT15" s="1" t="s">
        <v>459</v>
      </c>
      <c r="CU15" s="1" t="s">
        <v>460</v>
      </c>
      <c r="CW15" s="1" t="s">
        <v>184</v>
      </c>
      <c r="CX15" s="1" t="s">
        <v>461</v>
      </c>
      <c r="CY15" s="1" t="s">
        <v>127</v>
      </c>
      <c r="CZ15" s="1" t="s">
        <v>144</v>
      </c>
      <c r="DA15" s="1" t="s">
        <v>145</v>
      </c>
    </row>
    <row r="16" spans="1:105" s="3" customFormat="1" ht="11.25" customHeight="1" x14ac:dyDescent="0.2">
      <c r="A16" s="1">
        <v>41</v>
      </c>
      <c r="B16" s="1" t="s">
        <v>463</v>
      </c>
      <c r="C16" s="1" t="s">
        <v>462</v>
      </c>
      <c r="D16" s="1">
        <v>7071</v>
      </c>
      <c r="E16" s="2" t="s">
        <v>4201</v>
      </c>
      <c r="F16" s="1" t="s">
        <v>113</v>
      </c>
      <c r="G16" s="1" t="s">
        <v>190</v>
      </c>
      <c r="H16" s="1" t="s">
        <v>464</v>
      </c>
      <c r="I16" s="1" t="s">
        <v>229</v>
      </c>
      <c r="J16" s="1" t="s">
        <v>229</v>
      </c>
      <c r="L16" s="1" t="s">
        <v>111</v>
      </c>
      <c r="M16" s="1" t="s">
        <v>465</v>
      </c>
      <c r="N16" s="1" t="s">
        <v>112</v>
      </c>
      <c r="O16" s="1" t="s">
        <v>113</v>
      </c>
      <c r="P16" s="1" t="s">
        <v>113</v>
      </c>
      <c r="Q16" s="1" t="s">
        <v>195</v>
      </c>
      <c r="R16" s="1" t="s">
        <v>466</v>
      </c>
      <c r="S16" s="1" t="s">
        <v>114</v>
      </c>
      <c r="T16" s="1" t="s">
        <v>106</v>
      </c>
      <c r="U16" s="1" t="s">
        <v>467</v>
      </c>
      <c r="V16" s="1" t="s">
        <v>468</v>
      </c>
      <c r="W16" s="1" t="s">
        <v>115</v>
      </c>
      <c r="X16" s="1" t="s">
        <v>113</v>
      </c>
      <c r="Y16" s="1" t="s">
        <v>114</v>
      </c>
      <c r="Z16" s="1">
        <v>0</v>
      </c>
      <c r="AA16" s="1" t="s">
        <v>132</v>
      </c>
      <c r="AB16" s="1" t="s">
        <v>128</v>
      </c>
      <c r="AC16" s="1" t="s">
        <v>128</v>
      </c>
      <c r="AD16" s="1">
        <v>0</v>
      </c>
      <c r="AE16" s="1" t="s">
        <v>132</v>
      </c>
      <c r="AF16" s="1">
        <v>0</v>
      </c>
      <c r="AG16" s="1" t="s">
        <v>113</v>
      </c>
      <c r="AH16" s="1">
        <v>0</v>
      </c>
      <c r="AI16" s="1">
        <v>0</v>
      </c>
      <c r="AJ16" s="1">
        <v>0</v>
      </c>
      <c r="AK16" s="1" t="s">
        <v>232</v>
      </c>
      <c r="AL16" s="1">
        <v>0</v>
      </c>
      <c r="AM16" s="1" t="s">
        <v>469</v>
      </c>
      <c r="AN16" s="1">
        <v>0</v>
      </c>
      <c r="AO16" s="1" t="s">
        <v>113</v>
      </c>
      <c r="AP16" s="1" t="s">
        <v>106</v>
      </c>
      <c r="AQ16" s="1" t="s">
        <v>470</v>
      </c>
      <c r="AR16" s="1" t="s">
        <v>471</v>
      </c>
      <c r="AS16" s="1">
        <v>0</v>
      </c>
      <c r="AT16" s="1" t="s">
        <v>123</v>
      </c>
      <c r="AU16" s="1" t="s">
        <v>113</v>
      </c>
      <c r="AV16" s="1" t="s">
        <v>113</v>
      </c>
      <c r="AW16" s="1" t="s">
        <v>164</v>
      </c>
      <c r="AX16" s="1" t="s">
        <v>165</v>
      </c>
      <c r="AY16" s="1">
        <v>0</v>
      </c>
      <c r="AZ16" s="1" t="s">
        <v>113</v>
      </c>
      <c r="BA16" s="1" t="s">
        <v>113</v>
      </c>
      <c r="BB16" s="1" t="s">
        <v>125</v>
      </c>
      <c r="BC16" s="1" t="s">
        <v>166</v>
      </c>
      <c r="BD16" s="1">
        <v>0</v>
      </c>
      <c r="BE16" s="1">
        <v>100</v>
      </c>
      <c r="BF16" s="1" t="s">
        <v>167</v>
      </c>
      <c r="BG16" s="1" t="s">
        <v>132</v>
      </c>
      <c r="BH16" s="1" t="s">
        <v>168</v>
      </c>
      <c r="BI16" s="1" t="s">
        <v>168</v>
      </c>
      <c r="BJ16" s="1" t="s">
        <v>208</v>
      </c>
      <c r="BK16" s="1">
        <v>30</v>
      </c>
      <c r="BL16" s="1" t="s">
        <v>167</v>
      </c>
      <c r="BM16" s="1" t="s">
        <v>472</v>
      </c>
      <c r="BN16" s="1">
        <v>0</v>
      </c>
      <c r="BO16" s="1">
        <v>0</v>
      </c>
      <c r="BP16" s="1" t="s">
        <v>115</v>
      </c>
      <c r="BQ16" s="1" t="s">
        <v>473</v>
      </c>
      <c r="BR16" s="1" t="s">
        <v>470</v>
      </c>
      <c r="BS16" s="1" t="s">
        <v>473</v>
      </c>
      <c r="BT16" s="1" t="s">
        <v>172</v>
      </c>
      <c r="BU16" s="1" t="s">
        <v>132</v>
      </c>
      <c r="BV16" s="1" t="s">
        <v>474</v>
      </c>
      <c r="BW16" s="1" t="s">
        <v>475</v>
      </c>
      <c r="BX16" s="1" t="s">
        <v>476</v>
      </c>
      <c r="BY16" s="1" t="s">
        <v>454</v>
      </c>
      <c r="BZ16" s="1" t="s">
        <v>470</v>
      </c>
      <c r="CA16" s="1">
        <v>0</v>
      </c>
      <c r="CB16" s="1" t="s">
        <v>244</v>
      </c>
      <c r="CC16" s="1" t="s">
        <v>177</v>
      </c>
      <c r="CD16" s="1" t="s">
        <v>477</v>
      </c>
      <c r="CE16" s="1" t="s">
        <v>478</v>
      </c>
      <c r="CF16" s="1">
        <v>1450000</v>
      </c>
      <c r="CG16" s="1">
        <v>39134400</v>
      </c>
      <c r="CH16" s="1">
        <v>0</v>
      </c>
      <c r="CI16" s="1">
        <v>0</v>
      </c>
      <c r="CJ16" s="1">
        <v>0</v>
      </c>
      <c r="CK16" s="1">
        <v>0</v>
      </c>
      <c r="CL16" s="1">
        <v>0</v>
      </c>
      <c r="CM16" s="1">
        <v>0</v>
      </c>
      <c r="CN16" s="1">
        <v>0</v>
      </c>
      <c r="CO16" s="1">
        <v>0</v>
      </c>
      <c r="CP16" s="1">
        <v>0</v>
      </c>
      <c r="CQ16" s="1">
        <v>0</v>
      </c>
      <c r="CR16" s="1" t="s">
        <v>139</v>
      </c>
      <c r="CS16" s="1" t="s">
        <v>308</v>
      </c>
      <c r="CT16" s="1" t="s">
        <v>479</v>
      </c>
      <c r="CV16" s="1" t="s">
        <v>480</v>
      </c>
      <c r="CW16" s="1" t="s">
        <v>251</v>
      </c>
      <c r="CX16" s="1">
        <v>0</v>
      </c>
      <c r="CY16" s="1">
        <v>0</v>
      </c>
      <c r="CZ16" s="1" t="s">
        <v>144</v>
      </c>
      <c r="DA16" s="1" t="s">
        <v>145</v>
      </c>
    </row>
    <row r="17" spans="1:105" s="3" customFormat="1" ht="11.25" customHeight="1" x14ac:dyDescent="0.2">
      <c r="A17" s="1">
        <v>41</v>
      </c>
      <c r="B17" s="1" t="s">
        <v>482</v>
      </c>
      <c r="C17" s="1" t="s">
        <v>481</v>
      </c>
      <c r="D17" s="1">
        <v>134306</v>
      </c>
      <c r="E17" s="2" t="s">
        <v>4201</v>
      </c>
      <c r="F17" s="1" t="s">
        <v>113</v>
      </c>
      <c r="G17" s="1" t="s">
        <v>190</v>
      </c>
      <c r="H17" s="1" t="s">
        <v>332</v>
      </c>
      <c r="I17" s="1" t="s">
        <v>193</v>
      </c>
      <c r="J17" s="1" t="s">
        <v>113</v>
      </c>
      <c r="L17" s="1" t="s">
        <v>149</v>
      </c>
      <c r="M17" s="1" t="s">
        <v>483</v>
      </c>
      <c r="N17" s="1" t="s">
        <v>484</v>
      </c>
      <c r="O17" s="1" t="s">
        <v>106</v>
      </c>
      <c r="P17" s="1" t="s">
        <v>106</v>
      </c>
      <c r="Q17" s="1" t="s">
        <v>152</v>
      </c>
      <c r="R17" s="1" t="s">
        <v>485</v>
      </c>
      <c r="S17" s="1" t="s">
        <v>114</v>
      </c>
      <c r="T17" s="1" t="s">
        <v>106</v>
      </c>
      <c r="U17" s="1" t="s">
        <v>483</v>
      </c>
      <c r="V17" s="1" t="s">
        <v>486</v>
      </c>
      <c r="W17" s="1" t="s">
        <v>115</v>
      </c>
      <c r="X17" s="1" t="s">
        <v>106</v>
      </c>
      <c r="Y17" s="1" t="s">
        <v>487</v>
      </c>
      <c r="Z17" s="1">
        <v>100</v>
      </c>
      <c r="AA17" s="1" t="s">
        <v>132</v>
      </c>
      <c r="AB17" s="1" t="s">
        <v>117</v>
      </c>
      <c r="AC17" s="1" t="s">
        <v>118</v>
      </c>
      <c r="AD17" s="1">
        <v>20</v>
      </c>
      <c r="AE17" s="1" t="s">
        <v>132</v>
      </c>
      <c r="AF17" s="1">
        <v>32879</v>
      </c>
      <c r="AG17" s="1" t="s">
        <v>106</v>
      </c>
      <c r="AH17" s="1">
        <v>57</v>
      </c>
      <c r="AI17" s="1">
        <v>31</v>
      </c>
      <c r="AJ17" s="1">
        <v>11</v>
      </c>
      <c r="AK17" s="1" t="s">
        <v>200</v>
      </c>
      <c r="AL17" s="1">
        <v>75335</v>
      </c>
      <c r="AM17" s="1" t="s">
        <v>488</v>
      </c>
      <c r="AN17" s="1">
        <v>75335</v>
      </c>
      <c r="AO17" s="1" t="s">
        <v>113</v>
      </c>
      <c r="AP17" s="1" t="s">
        <v>113</v>
      </c>
      <c r="AQ17" s="1" t="s">
        <v>114</v>
      </c>
      <c r="AR17" s="1" t="s">
        <v>114</v>
      </c>
      <c r="AS17" s="1" t="s">
        <v>114</v>
      </c>
      <c r="AT17" s="1" t="s">
        <v>489</v>
      </c>
      <c r="AU17" s="1" t="s">
        <v>106</v>
      </c>
      <c r="AV17" s="1" t="s">
        <v>113</v>
      </c>
      <c r="AW17" s="1" t="s">
        <v>234</v>
      </c>
      <c r="AX17" s="1" t="s">
        <v>490</v>
      </c>
      <c r="AY17" s="1">
        <v>2400</v>
      </c>
      <c r="AZ17" s="1" t="s">
        <v>113</v>
      </c>
      <c r="BA17" s="1" t="s">
        <v>113</v>
      </c>
      <c r="BB17" s="1" t="s">
        <v>125</v>
      </c>
      <c r="BD17" s="1">
        <v>0</v>
      </c>
      <c r="BE17" s="1">
        <v>100</v>
      </c>
      <c r="BF17" s="1" t="s">
        <v>167</v>
      </c>
      <c r="BG17" s="1" t="s">
        <v>268</v>
      </c>
      <c r="BH17" s="1" t="s">
        <v>269</v>
      </c>
      <c r="BI17" s="1" t="s">
        <v>269</v>
      </c>
      <c r="BJ17" s="1" t="s">
        <v>128</v>
      </c>
      <c r="BK17" s="1">
        <v>0</v>
      </c>
      <c r="BL17" s="1" t="s">
        <v>127</v>
      </c>
      <c r="BM17" s="1" t="s">
        <v>114</v>
      </c>
      <c r="BN17" s="1">
        <v>337</v>
      </c>
      <c r="BP17" s="1" t="s">
        <v>124</v>
      </c>
      <c r="BQ17" s="1" t="s">
        <v>481</v>
      </c>
      <c r="BR17" s="1" t="s">
        <v>491</v>
      </c>
      <c r="BS17" s="1" t="s">
        <v>492</v>
      </c>
      <c r="BT17" s="1" t="s">
        <v>172</v>
      </c>
      <c r="BU17" s="1" t="s">
        <v>493</v>
      </c>
      <c r="BV17" s="1" t="s">
        <v>494</v>
      </c>
      <c r="BW17" s="1" t="s">
        <v>134</v>
      </c>
      <c r="BX17" s="1" t="s">
        <v>175</v>
      </c>
      <c r="BY17" s="1" t="s">
        <v>135</v>
      </c>
      <c r="BZ17" s="1" t="s">
        <v>495</v>
      </c>
      <c r="CA17" s="1">
        <v>32879</v>
      </c>
      <c r="CB17" s="1" t="s">
        <v>176</v>
      </c>
      <c r="CC17" s="1" t="s">
        <v>496</v>
      </c>
      <c r="CE17" s="1" t="s">
        <v>497</v>
      </c>
      <c r="CF17" s="1">
        <v>12555659</v>
      </c>
      <c r="CG17" s="1">
        <v>10764862</v>
      </c>
      <c r="CH17" s="1">
        <v>204</v>
      </c>
      <c r="CI17" s="1">
        <v>0</v>
      </c>
      <c r="CJ17" s="1">
        <v>112</v>
      </c>
      <c r="CK17" s="1">
        <v>291</v>
      </c>
      <c r="CL17" s="1">
        <v>291</v>
      </c>
      <c r="CM17" s="1">
        <v>0</v>
      </c>
      <c r="CN17" s="1">
        <v>0</v>
      </c>
      <c r="CO17" s="1">
        <v>0</v>
      </c>
      <c r="CP17" s="1">
        <v>0</v>
      </c>
      <c r="CQ17" s="1">
        <v>0</v>
      </c>
      <c r="CR17" s="1" t="s">
        <v>139</v>
      </c>
      <c r="CS17" s="1" t="s">
        <v>140</v>
      </c>
      <c r="CT17" s="1" t="s">
        <v>498</v>
      </c>
      <c r="CU17" s="1" t="s">
        <v>499</v>
      </c>
      <c r="CV17" s="1" t="s">
        <v>500</v>
      </c>
      <c r="CW17" s="1" t="s">
        <v>284</v>
      </c>
      <c r="CX17" s="1" t="s">
        <v>501</v>
      </c>
      <c r="CY17" s="1" t="s">
        <v>143</v>
      </c>
      <c r="CZ17" s="1" t="s">
        <v>144</v>
      </c>
      <c r="DA17" s="1" t="s">
        <v>145</v>
      </c>
    </row>
    <row r="18" spans="1:105" s="3" customFormat="1" ht="11.25" customHeight="1" x14ac:dyDescent="0.2">
      <c r="A18" s="1">
        <v>41</v>
      </c>
      <c r="B18" s="1" t="s">
        <v>503</v>
      </c>
      <c r="C18" s="1" t="s">
        <v>502</v>
      </c>
      <c r="D18" s="1">
        <v>123863</v>
      </c>
      <c r="E18" s="2" t="s">
        <v>4201</v>
      </c>
      <c r="F18" s="1" t="s">
        <v>113</v>
      </c>
      <c r="G18" s="1" t="s">
        <v>190</v>
      </c>
      <c r="H18" s="1" t="s">
        <v>504</v>
      </c>
      <c r="I18" s="1" t="s">
        <v>193</v>
      </c>
      <c r="J18" s="1" t="s">
        <v>113</v>
      </c>
      <c r="L18" s="1" t="s">
        <v>401</v>
      </c>
      <c r="M18" s="1" t="s">
        <v>505</v>
      </c>
      <c r="N18" s="1" t="s">
        <v>506</v>
      </c>
      <c r="O18" s="1" t="s">
        <v>113</v>
      </c>
      <c r="P18" s="1" t="s">
        <v>113</v>
      </c>
      <c r="Q18" s="1" t="s">
        <v>111</v>
      </c>
      <c r="R18" s="1" t="s">
        <v>114</v>
      </c>
      <c r="S18" s="1" t="s">
        <v>114</v>
      </c>
      <c r="T18" s="1" t="s">
        <v>106</v>
      </c>
      <c r="U18" s="1" t="s">
        <v>507</v>
      </c>
      <c r="V18" s="1" t="s">
        <v>508</v>
      </c>
      <c r="W18" s="1" t="s">
        <v>115</v>
      </c>
      <c r="X18" s="1" t="s">
        <v>106</v>
      </c>
      <c r="Y18" s="1" t="s">
        <v>509</v>
      </c>
      <c r="Z18" s="1">
        <v>100</v>
      </c>
      <c r="AA18" s="1" t="s">
        <v>132</v>
      </c>
      <c r="AB18" s="1" t="s">
        <v>128</v>
      </c>
      <c r="AC18" s="1" t="s">
        <v>384</v>
      </c>
      <c r="AD18" s="1">
        <v>100</v>
      </c>
      <c r="AE18" s="1" t="s">
        <v>132</v>
      </c>
      <c r="AF18" s="1">
        <v>23680</v>
      </c>
      <c r="AG18" s="1" t="s">
        <v>106</v>
      </c>
      <c r="AH18" s="1">
        <v>45</v>
      </c>
      <c r="AI18" s="1">
        <v>25</v>
      </c>
      <c r="AJ18" s="1">
        <v>30</v>
      </c>
      <c r="AK18" s="1" t="s">
        <v>232</v>
      </c>
      <c r="AL18" s="1">
        <v>210000</v>
      </c>
      <c r="AM18" s="1" t="s">
        <v>510</v>
      </c>
      <c r="AN18" s="1">
        <v>210000</v>
      </c>
      <c r="AO18" s="1" t="s">
        <v>113</v>
      </c>
      <c r="AP18" s="1" t="s">
        <v>113</v>
      </c>
      <c r="AQ18" s="1" t="s">
        <v>114</v>
      </c>
      <c r="AR18" s="1" t="s">
        <v>511</v>
      </c>
      <c r="AS18" s="1" t="s">
        <v>114</v>
      </c>
      <c r="AT18" s="1" t="s">
        <v>123</v>
      </c>
      <c r="AU18" s="1" t="s">
        <v>113</v>
      </c>
      <c r="AV18" s="1" t="s">
        <v>113</v>
      </c>
      <c r="AW18" s="1" t="s">
        <v>124</v>
      </c>
      <c r="AX18" s="1" t="s">
        <v>165</v>
      </c>
      <c r="AY18" s="1">
        <v>0</v>
      </c>
      <c r="AZ18" s="1" t="s">
        <v>106</v>
      </c>
      <c r="BA18" s="1" t="s">
        <v>113</v>
      </c>
      <c r="BB18" s="1" t="s">
        <v>125</v>
      </c>
      <c r="BC18" s="1" t="s">
        <v>166</v>
      </c>
      <c r="BD18" s="1">
        <v>120</v>
      </c>
      <c r="BE18" s="1">
        <v>100</v>
      </c>
      <c r="BF18" s="1" t="s">
        <v>167</v>
      </c>
      <c r="BG18" s="1" t="s">
        <v>132</v>
      </c>
      <c r="BH18" s="1" t="s">
        <v>269</v>
      </c>
      <c r="BI18" s="1" t="s">
        <v>269</v>
      </c>
      <c r="BJ18" s="1" t="s">
        <v>208</v>
      </c>
      <c r="BK18" s="1">
        <v>100</v>
      </c>
      <c r="BL18" s="1" t="s">
        <v>167</v>
      </c>
      <c r="BM18" s="1" t="s">
        <v>512</v>
      </c>
      <c r="BN18" s="1" t="s">
        <v>143</v>
      </c>
      <c r="BO18" s="1" t="s">
        <v>127</v>
      </c>
      <c r="BP18" s="1" t="s">
        <v>124</v>
      </c>
      <c r="BQ18" s="1" t="s">
        <v>502</v>
      </c>
      <c r="BR18" s="1" t="s">
        <v>513</v>
      </c>
      <c r="BS18" s="1" t="s">
        <v>514</v>
      </c>
      <c r="BT18" s="1" t="s">
        <v>172</v>
      </c>
      <c r="BU18" s="1" t="s">
        <v>132</v>
      </c>
      <c r="BV18" s="1" t="s">
        <v>515</v>
      </c>
      <c r="BW18" s="1" t="s">
        <v>516</v>
      </c>
      <c r="BX18" s="1" t="s">
        <v>325</v>
      </c>
      <c r="BY18" s="1" t="s">
        <v>299</v>
      </c>
      <c r="BZ18" s="1" t="s">
        <v>517</v>
      </c>
      <c r="CA18" s="1">
        <v>23000</v>
      </c>
      <c r="CB18" s="1" t="s">
        <v>244</v>
      </c>
      <c r="CC18" s="1" t="s">
        <v>217</v>
      </c>
      <c r="CD18" s="1" t="s">
        <v>518</v>
      </c>
      <c r="CE18" s="1" t="s">
        <v>519</v>
      </c>
      <c r="CF18" s="1">
        <v>16360195.560000001</v>
      </c>
      <c r="CG18" s="1">
        <v>17919892.530000001</v>
      </c>
      <c r="CH18" s="1">
        <v>5309980.1399999997</v>
      </c>
      <c r="CI18" s="1">
        <v>0</v>
      </c>
      <c r="CJ18" s="1">
        <v>2114099.52</v>
      </c>
      <c r="CK18" s="1">
        <v>1418297</v>
      </c>
      <c r="CL18" s="1">
        <v>627814</v>
      </c>
      <c r="CM18" s="1">
        <v>0</v>
      </c>
      <c r="CN18" s="1">
        <v>8449701</v>
      </c>
      <c r="CO18" s="1">
        <v>0</v>
      </c>
      <c r="CP18" s="1">
        <v>0</v>
      </c>
      <c r="CQ18" s="1">
        <v>0</v>
      </c>
      <c r="CR18" s="1" t="s">
        <v>139</v>
      </c>
      <c r="CS18" s="1" t="s">
        <v>327</v>
      </c>
      <c r="CT18" s="1" t="s">
        <v>520</v>
      </c>
      <c r="CU18" s="1" t="s">
        <v>521</v>
      </c>
      <c r="CV18" s="1" t="s">
        <v>250</v>
      </c>
      <c r="CW18" s="1" t="s">
        <v>251</v>
      </c>
      <c r="CX18" s="1" t="s">
        <v>114</v>
      </c>
      <c r="CY18" s="1" t="s">
        <v>143</v>
      </c>
      <c r="CZ18" s="1" t="s">
        <v>144</v>
      </c>
      <c r="DA18" s="1" t="s">
        <v>145</v>
      </c>
    </row>
    <row r="19" spans="1:105" s="3" customFormat="1" ht="11.25" customHeight="1" x14ac:dyDescent="0.2">
      <c r="A19" s="1">
        <v>41</v>
      </c>
      <c r="B19" s="1" t="s">
        <v>523</v>
      </c>
      <c r="C19" s="1" t="s">
        <v>522</v>
      </c>
      <c r="D19" s="1">
        <v>26310</v>
      </c>
      <c r="E19" s="2" t="s">
        <v>4201</v>
      </c>
      <c r="F19" s="1" t="s">
        <v>113</v>
      </c>
      <c r="G19" s="1" t="s">
        <v>190</v>
      </c>
      <c r="H19" s="1" t="s">
        <v>313</v>
      </c>
      <c r="I19" s="1" t="s">
        <v>229</v>
      </c>
      <c r="J19" s="1" t="s">
        <v>229</v>
      </c>
      <c r="K19" s="1" t="s">
        <v>524</v>
      </c>
      <c r="L19" s="1" t="s">
        <v>149</v>
      </c>
      <c r="M19" s="1" t="s">
        <v>525</v>
      </c>
      <c r="N19" s="1" t="s">
        <v>526</v>
      </c>
      <c r="O19" s="1" t="s">
        <v>113</v>
      </c>
      <c r="P19" s="1" t="s">
        <v>113</v>
      </c>
      <c r="Q19" s="1" t="s">
        <v>195</v>
      </c>
      <c r="R19" s="1" t="s">
        <v>527</v>
      </c>
      <c r="S19" s="1" t="s">
        <v>528</v>
      </c>
      <c r="T19" s="1" t="s">
        <v>106</v>
      </c>
      <c r="U19" s="1" t="s">
        <v>525</v>
      </c>
      <c r="V19" s="1" t="s">
        <v>529</v>
      </c>
      <c r="W19" s="1" t="s">
        <v>115</v>
      </c>
      <c r="X19" s="1" t="s">
        <v>113</v>
      </c>
      <c r="Z19" s="1">
        <v>100</v>
      </c>
      <c r="AA19" s="1" t="s">
        <v>132</v>
      </c>
      <c r="AB19" s="1" t="s">
        <v>128</v>
      </c>
      <c r="AC19" s="1" t="s">
        <v>118</v>
      </c>
      <c r="AD19" s="1">
        <v>80</v>
      </c>
      <c r="AE19" s="1" t="s">
        <v>132</v>
      </c>
      <c r="AF19" s="1">
        <v>6336</v>
      </c>
      <c r="AG19" s="1" t="s">
        <v>113</v>
      </c>
      <c r="AH19" s="1">
        <v>0</v>
      </c>
      <c r="AI19" s="1">
        <v>0</v>
      </c>
      <c r="AJ19" s="1">
        <v>0</v>
      </c>
      <c r="AK19" s="1" t="s">
        <v>530</v>
      </c>
      <c r="AL19" s="1">
        <v>3000</v>
      </c>
      <c r="AM19" s="1" t="s">
        <v>172</v>
      </c>
      <c r="AN19" s="1">
        <v>0</v>
      </c>
      <c r="AO19" s="1" t="s">
        <v>113</v>
      </c>
      <c r="AP19" s="1" t="s">
        <v>106</v>
      </c>
      <c r="AQ19" s="1">
        <v>221210</v>
      </c>
      <c r="AR19" s="1" t="s">
        <v>531</v>
      </c>
      <c r="AS19" s="1" t="s">
        <v>532</v>
      </c>
      <c r="AT19" s="1" t="s">
        <v>123</v>
      </c>
      <c r="AU19" s="1" t="s">
        <v>106</v>
      </c>
      <c r="AV19" s="1" t="s">
        <v>106</v>
      </c>
      <c r="AW19" s="1" t="s">
        <v>124</v>
      </c>
      <c r="AX19" s="1" t="s">
        <v>165</v>
      </c>
      <c r="AY19" s="1">
        <v>1000</v>
      </c>
      <c r="AZ19" s="1" t="s">
        <v>113</v>
      </c>
      <c r="BA19" s="1" t="s">
        <v>113</v>
      </c>
      <c r="BB19" s="1" t="s">
        <v>125</v>
      </c>
      <c r="BC19" s="1" t="s">
        <v>166</v>
      </c>
      <c r="BD19" s="1">
        <v>0</v>
      </c>
      <c r="BE19" s="1">
        <v>100</v>
      </c>
      <c r="BF19" s="1" t="s">
        <v>167</v>
      </c>
      <c r="BG19" s="1" t="s">
        <v>132</v>
      </c>
      <c r="BH19" s="1" t="s">
        <v>168</v>
      </c>
      <c r="BI19" s="1" t="s">
        <v>207</v>
      </c>
      <c r="BJ19" s="1" t="s">
        <v>208</v>
      </c>
      <c r="BK19" s="1">
        <v>80</v>
      </c>
      <c r="BL19" s="1" t="s">
        <v>533</v>
      </c>
      <c r="BM19" s="1" t="s">
        <v>472</v>
      </c>
      <c r="BN19" s="1" t="s">
        <v>276</v>
      </c>
      <c r="BO19" s="1" t="s">
        <v>276</v>
      </c>
      <c r="BP19" s="1" t="s">
        <v>115</v>
      </c>
      <c r="BQ19" s="1" t="s">
        <v>534</v>
      </c>
      <c r="BR19" s="1" t="s">
        <v>532</v>
      </c>
      <c r="BS19" s="1" t="s">
        <v>531</v>
      </c>
      <c r="BT19" s="1" t="s">
        <v>535</v>
      </c>
      <c r="BU19" s="1" t="s">
        <v>536</v>
      </c>
      <c r="BV19" s="1" t="s">
        <v>537</v>
      </c>
      <c r="BW19" s="1" t="s">
        <v>298</v>
      </c>
      <c r="BX19" s="1" t="s">
        <v>325</v>
      </c>
      <c r="BY19" s="1" t="s">
        <v>299</v>
      </c>
      <c r="BZ19" s="1" t="s">
        <v>127</v>
      </c>
      <c r="CA19" s="1">
        <v>7000</v>
      </c>
      <c r="CB19" s="1" t="s">
        <v>244</v>
      </c>
      <c r="CC19" s="1" t="s">
        <v>177</v>
      </c>
      <c r="CD19" s="1" t="s">
        <v>538</v>
      </c>
      <c r="CE19" s="1" t="s">
        <v>179</v>
      </c>
      <c r="CF19" s="1">
        <v>102045540</v>
      </c>
      <c r="CG19" s="1">
        <v>1039168</v>
      </c>
      <c r="CH19" s="1">
        <v>0</v>
      </c>
      <c r="CI19" s="1">
        <v>216</v>
      </c>
      <c r="CJ19" s="1">
        <v>216</v>
      </c>
      <c r="CK19" s="1">
        <v>0</v>
      </c>
      <c r="CL19" s="1">
        <v>0</v>
      </c>
      <c r="CM19" s="1">
        <v>0</v>
      </c>
      <c r="CN19" s="1">
        <v>0</v>
      </c>
      <c r="CO19" s="1">
        <v>0</v>
      </c>
      <c r="CP19" s="1">
        <v>0</v>
      </c>
      <c r="CQ19" s="1">
        <v>0</v>
      </c>
      <c r="CR19" s="1" t="s">
        <v>139</v>
      </c>
      <c r="CS19" s="1" t="s">
        <v>539</v>
      </c>
      <c r="CT19" s="1" t="s">
        <v>540</v>
      </c>
      <c r="CU19" s="1" t="s">
        <v>541</v>
      </c>
      <c r="CV19" s="1" t="s">
        <v>542</v>
      </c>
      <c r="CW19" s="1" t="s">
        <v>251</v>
      </c>
      <c r="CX19" s="1" t="s">
        <v>157</v>
      </c>
      <c r="CY19" s="1" t="s">
        <v>276</v>
      </c>
      <c r="CZ19" s="1" t="s">
        <v>144</v>
      </c>
      <c r="DA19" s="1" t="s">
        <v>145</v>
      </c>
    </row>
    <row r="20" spans="1:105" s="3" customFormat="1" ht="11.25" customHeight="1" x14ac:dyDescent="0.2">
      <c r="A20" s="1">
        <v>41</v>
      </c>
      <c r="B20" s="1" t="s">
        <v>544</v>
      </c>
      <c r="C20" s="1" t="s">
        <v>543</v>
      </c>
      <c r="D20" s="1">
        <v>14824</v>
      </c>
      <c r="E20" s="2" t="s">
        <v>4201</v>
      </c>
      <c r="F20" s="1" t="s">
        <v>113</v>
      </c>
      <c r="G20" s="1" t="s">
        <v>190</v>
      </c>
      <c r="H20" s="1" t="s">
        <v>545</v>
      </c>
      <c r="I20" s="1" t="s">
        <v>229</v>
      </c>
      <c r="J20" s="1" t="s">
        <v>229</v>
      </c>
      <c r="K20" s="1" t="s">
        <v>545</v>
      </c>
      <c r="L20" s="1" t="s">
        <v>111</v>
      </c>
      <c r="M20" s="1" t="s">
        <v>111</v>
      </c>
      <c r="N20" s="1" t="s">
        <v>112</v>
      </c>
      <c r="O20" s="1" t="s">
        <v>113</v>
      </c>
      <c r="P20" s="1" t="s">
        <v>113</v>
      </c>
      <c r="Q20" s="1" t="s">
        <v>111</v>
      </c>
      <c r="R20" s="1" t="s">
        <v>114</v>
      </c>
      <c r="S20" s="1" t="s">
        <v>114</v>
      </c>
      <c r="T20" s="1" t="s">
        <v>106</v>
      </c>
      <c r="U20" s="1" t="s">
        <v>114</v>
      </c>
      <c r="V20" s="1" t="s">
        <v>546</v>
      </c>
      <c r="W20" s="1" t="s">
        <v>115</v>
      </c>
      <c r="X20" s="1" t="s">
        <v>113</v>
      </c>
      <c r="Y20" s="1" t="s">
        <v>114</v>
      </c>
      <c r="Z20" s="1">
        <v>100</v>
      </c>
      <c r="AA20" s="1" t="s">
        <v>116</v>
      </c>
      <c r="AB20" s="1" t="s">
        <v>128</v>
      </c>
      <c r="AC20" s="1" t="s">
        <v>118</v>
      </c>
      <c r="AD20" s="1">
        <v>20</v>
      </c>
      <c r="AE20" s="1" t="s">
        <v>116</v>
      </c>
      <c r="AF20" s="1">
        <v>2493</v>
      </c>
      <c r="AG20" s="1" t="s">
        <v>113</v>
      </c>
      <c r="AH20" s="1">
        <v>30</v>
      </c>
      <c r="AI20" s="1">
        <v>20</v>
      </c>
      <c r="AJ20" s="1">
        <v>50</v>
      </c>
      <c r="AK20" s="1" t="s">
        <v>408</v>
      </c>
      <c r="AL20" s="1">
        <v>20</v>
      </c>
      <c r="AM20" s="1" t="s">
        <v>120</v>
      </c>
      <c r="AN20" s="1">
        <v>20</v>
      </c>
      <c r="AO20" s="1" t="s">
        <v>113</v>
      </c>
      <c r="AP20" s="1" t="s">
        <v>106</v>
      </c>
      <c r="AQ20" s="1" t="s">
        <v>547</v>
      </c>
      <c r="AR20" s="1" t="s">
        <v>548</v>
      </c>
      <c r="AS20" s="1" t="s">
        <v>549</v>
      </c>
      <c r="AT20" s="1" t="s">
        <v>123</v>
      </c>
      <c r="AU20" s="1" t="s">
        <v>106</v>
      </c>
      <c r="AV20" s="1" t="s">
        <v>113</v>
      </c>
      <c r="AW20" s="1" t="s">
        <v>234</v>
      </c>
      <c r="AX20" s="1" t="s">
        <v>550</v>
      </c>
      <c r="AY20" s="1">
        <v>20</v>
      </c>
      <c r="AZ20" s="1" t="s">
        <v>113</v>
      </c>
      <c r="BA20" s="1" t="s">
        <v>113</v>
      </c>
      <c r="BB20" s="1" t="s">
        <v>125</v>
      </c>
      <c r="BC20" s="1" t="s">
        <v>166</v>
      </c>
      <c r="BD20" s="1">
        <v>0</v>
      </c>
      <c r="BE20" s="1">
        <v>100</v>
      </c>
      <c r="BF20" s="1" t="s">
        <v>167</v>
      </c>
      <c r="BG20" s="1" t="s">
        <v>116</v>
      </c>
      <c r="BH20" s="1" t="s">
        <v>168</v>
      </c>
      <c r="BI20" s="1" t="s">
        <v>207</v>
      </c>
      <c r="BJ20" s="1" t="s">
        <v>208</v>
      </c>
      <c r="BK20" s="1">
        <v>20</v>
      </c>
      <c r="BL20" s="1" t="s">
        <v>270</v>
      </c>
      <c r="BM20" s="1" t="s">
        <v>210</v>
      </c>
      <c r="BN20" s="1" t="s">
        <v>276</v>
      </c>
      <c r="BO20" s="1">
        <v>0</v>
      </c>
      <c r="BP20" s="1" t="s">
        <v>115</v>
      </c>
      <c r="BQ20" s="1" t="s">
        <v>359</v>
      </c>
      <c r="BR20" s="1" t="s">
        <v>551</v>
      </c>
      <c r="BS20" s="1" t="s">
        <v>552</v>
      </c>
      <c r="BT20" s="1" t="s">
        <v>131</v>
      </c>
      <c r="BU20" s="1" t="s">
        <v>132</v>
      </c>
      <c r="BV20" s="1" t="s">
        <v>553</v>
      </c>
      <c r="BW20" s="1" t="s">
        <v>134</v>
      </c>
      <c r="BX20" s="1" t="s">
        <v>114</v>
      </c>
      <c r="BY20" s="1" t="s">
        <v>135</v>
      </c>
      <c r="BZ20" s="1" t="s">
        <v>554</v>
      </c>
      <c r="CA20" s="1">
        <v>2493</v>
      </c>
      <c r="CB20" s="1" t="s">
        <v>176</v>
      </c>
      <c r="CC20" s="1" t="s">
        <v>301</v>
      </c>
      <c r="CD20" s="1" t="s">
        <v>555</v>
      </c>
      <c r="CE20" s="1" t="s">
        <v>179</v>
      </c>
      <c r="CF20" s="1">
        <v>1008577.39</v>
      </c>
      <c r="CG20" s="6">
        <v>199065</v>
      </c>
      <c r="CH20" s="1">
        <v>414.01</v>
      </c>
      <c r="CI20" s="1">
        <v>414.01</v>
      </c>
      <c r="CJ20" s="1">
        <v>0</v>
      </c>
      <c r="CK20" s="1">
        <v>20000</v>
      </c>
      <c r="CL20" s="1">
        <v>0</v>
      </c>
      <c r="CM20" s="1">
        <v>0</v>
      </c>
      <c r="CN20" s="1">
        <v>0</v>
      </c>
      <c r="CO20" s="1">
        <v>0</v>
      </c>
      <c r="CP20" s="1">
        <v>0</v>
      </c>
      <c r="CQ20" s="1">
        <v>0</v>
      </c>
      <c r="CR20" s="1" t="s">
        <v>139</v>
      </c>
      <c r="CS20" s="1" t="s">
        <v>140</v>
      </c>
      <c r="CT20" s="1" t="s">
        <v>114</v>
      </c>
      <c r="CV20" s="1" t="s">
        <v>556</v>
      </c>
      <c r="CW20" s="1" t="s">
        <v>184</v>
      </c>
      <c r="CX20" s="1" t="s">
        <v>557</v>
      </c>
      <c r="CY20" s="1" t="s">
        <v>276</v>
      </c>
      <c r="CZ20" s="1" t="s">
        <v>144</v>
      </c>
      <c r="DA20" s="1" t="s">
        <v>145</v>
      </c>
    </row>
    <row r="21" spans="1:105" s="3" customFormat="1" ht="11.25" customHeight="1" x14ac:dyDescent="0.2">
      <c r="A21" s="1">
        <v>41</v>
      </c>
      <c r="B21" s="1" t="s">
        <v>558</v>
      </c>
      <c r="C21" s="1" t="s">
        <v>559</v>
      </c>
      <c r="D21" s="1">
        <v>2704</v>
      </c>
      <c r="E21" s="2" t="s">
        <v>1688</v>
      </c>
      <c r="F21" s="1"/>
      <c r="G21" s="1"/>
      <c r="H21" s="1"/>
      <c r="I21" s="1"/>
      <c r="J21" s="1"/>
      <c r="K21" s="1"/>
      <c r="L21" s="1"/>
      <c r="M21" s="1"/>
      <c r="N21" s="1"/>
      <c r="O21" s="1"/>
      <c r="P21" s="1"/>
      <c r="Q21" s="1"/>
      <c r="R21" s="1"/>
      <c r="S21" s="1"/>
      <c r="T21" s="1"/>
      <c r="U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s="3" customFormat="1" ht="11.25" customHeight="1" x14ac:dyDescent="0.2">
      <c r="A22" s="1">
        <v>41</v>
      </c>
      <c r="B22" s="1" t="s">
        <v>561</v>
      </c>
      <c r="C22" s="1" t="s">
        <v>560</v>
      </c>
      <c r="D22" s="1">
        <v>160038</v>
      </c>
      <c r="E22" s="2" t="s">
        <v>4201</v>
      </c>
      <c r="F22" s="1" t="s">
        <v>106</v>
      </c>
      <c r="G22" s="1" t="s">
        <v>107</v>
      </c>
      <c r="H22" s="1" t="s">
        <v>108</v>
      </c>
      <c r="I22" s="1" t="s">
        <v>109</v>
      </c>
      <c r="J22" s="1" t="s">
        <v>106</v>
      </c>
      <c r="K22" s="1" t="s">
        <v>110</v>
      </c>
      <c r="L22" s="1" t="s">
        <v>401</v>
      </c>
      <c r="M22" s="1" t="s">
        <v>562</v>
      </c>
      <c r="N22" s="1" t="s">
        <v>484</v>
      </c>
      <c r="O22" s="1" t="s">
        <v>113</v>
      </c>
      <c r="P22" s="1" t="s">
        <v>113</v>
      </c>
      <c r="Q22" s="1" t="s">
        <v>258</v>
      </c>
      <c r="R22" s="1" t="s">
        <v>563</v>
      </c>
      <c r="S22" s="1" t="s">
        <v>564</v>
      </c>
      <c r="T22" s="1" t="s">
        <v>106</v>
      </c>
      <c r="U22" s="1" t="s">
        <v>565</v>
      </c>
      <c r="V22" s="1" t="s">
        <v>566</v>
      </c>
      <c r="W22" s="1" t="s">
        <v>115</v>
      </c>
      <c r="X22" s="1" t="s">
        <v>106</v>
      </c>
      <c r="Y22" s="1" t="s">
        <v>567</v>
      </c>
      <c r="Z22" s="1">
        <v>100</v>
      </c>
      <c r="AA22" s="1" t="s">
        <v>132</v>
      </c>
      <c r="AB22" s="1" t="s">
        <v>117</v>
      </c>
      <c r="AC22" s="1" t="s">
        <v>384</v>
      </c>
      <c r="AD22" s="1">
        <v>100</v>
      </c>
      <c r="AE22" s="1" t="s">
        <v>132</v>
      </c>
      <c r="AF22" s="1">
        <v>34085</v>
      </c>
      <c r="AG22" s="1" t="s">
        <v>106</v>
      </c>
      <c r="AH22" s="1">
        <v>28</v>
      </c>
      <c r="AI22" s="1">
        <v>43</v>
      </c>
      <c r="AJ22" s="1">
        <v>29</v>
      </c>
      <c r="AK22" s="1" t="s">
        <v>119</v>
      </c>
      <c r="AM22" s="1" t="s">
        <v>568</v>
      </c>
      <c r="AP22" s="1" t="s">
        <v>113</v>
      </c>
      <c r="AQ22" s="1" t="s">
        <v>114</v>
      </c>
      <c r="AR22" s="1" t="s">
        <v>114</v>
      </c>
      <c r="AS22" s="1" t="s">
        <v>114</v>
      </c>
      <c r="AT22" s="1" t="s">
        <v>123</v>
      </c>
      <c r="AU22" s="1" t="s">
        <v>106</v>
      </c>
      <c r="AV22" s="1" t="s">
        <v>113</v>
      </c>
      <c r="AW22" s="1" t="s">
        <v>164</v>
      </c>
      <c r="AY22" s="1">
        <v>0</v>
      </c>
      <c r="AZ22" s="1" t="s">
        <v>113</v>
      </c>
      <c r="BA22" s="1" t="s">
        <v>113</v>
      </c>
      <c r="BB22" s="1" t="s">
        <v>125</v>
      </c>
      <c r="BD22" s="1">
        <v>0</v>
      </c>
      <c r="BE22" s="1">
        <v>100</v>
      </c>
      <c r="BF22" s="1" t="s">
        <v>167</v>
      </c>
      <c r="BG22" s="1" t="s">
        <v>132</v>
      </c>
      <c r="BH22" s="1" t="s">
        <v>168</v>
      </c>
      <c r="BI22" s="1" t="s">
        <v>569</v>
      </c>
      <c r="BJ22" s="1" t="s">
        <v>384</v>
      </c>
      <c r="BK22" s="1">
        <v>100</v>
      </c>
      <c r="BL22" s="1" t="s">
        <v>167</v>
      </c>
      <c r="BM22" s="1" t="s">
        <v>472</v>
      </c>
      <c r="BN22" s="1" t="s">
        <v>143</v>
      </c>
      <c r="BP22" s="1" t="s">
        <v>115</v>
      </c>
      <c r="BQ22" s="1" t="s">
        <v>110</v>
      </c>
      <c r="BR22" s="1" t="s">
        <v>570</v>
      </c>
      <c r="BS22" s="1" t="s">
        <v>130</v>
      </c>
      <c r="BT22" s="1" t="s">
        <v>172</v>
      </c>
      <c r="BU22" s="1" t="s">
        <v>132</v>
      </c>
      <c r="BV22" s="1" t="s">
        <v>571</v>
      </c>
      <c r="BW22" s="1" t="s">
        <v>134</v>
      </c>
      <c r="BX22" s="1" t="s">
        <v>135</v>
      </c>
      <c r="BY22" s="1" t="s">
        <v>135</v>
      </c>
      <c r="BZ22" s="1" t="s">
        <v>135</v>
      </c>
      <c r="CA22" s="1">
        <v>34085</v>
      </c>
      <c r="CB22" s="1" t="s">
        <v>176</v>
      </c>
      <c r="CC22" s="1" t="s">
        <v>177</v>
      </c>
      <c r="CD22" s="1" t="s">
        <v>572</v>
      </c>
      <c r="CF22" s="6">
        <v>19325308.079999998</v>
      </c>
      <c r="CG22" s="6">
        <v>15187153.5</v>
      </c>
      <c r="CH22" s="6">
        <v>11195502.02</v>
      </c>
      <c r="CI22" s="1">
        <v>0</v>
      </c>
      <c r="CJ22" s="6">
        <v>3991651.48</v>
      </c>
      <c r="CK22" s="1">
        <v>0</v>
      </c>
      <c r="CL22" s="1">
        <v>0</v>
      </c>
      <c r="CM22" s="1">
        <v>0</v>
      </c>
      <c r="CN22" s="1">
        <v>0</v>
      </c>
      <c r="CO22" s="1">
        <v>0</v>
      </c>
      <c r="CP22" s="1">
        <v>0</v>
      </c>
      <c r="CQ22" s="1">
        <v>0</v>
      </c>
      <c r="CR22" s="1" t="s">
        <v>139</v>
      </c>
      <c r="CS22" s="1" t="s">
        <v>140</v>
      </c>
      <c r="CT22" s="1" t="s">
        <v>573</v>
      </c>
      <c r="CV22" s="1" t="s">
        <v>574</v>
      </c>
      <c r="CW22" s="1" t="s">
        <v>251</v>
      </c>
      <c r="CX22" s="1" t="s">
        <v>114</v>
      </c>
      <c r="CY22" s="1" t="s">
        <v>143</v>
      </c>
      <c r="CZ22" s="1" t="s">
        <v>144</v>
      </c>
      <c r="DA22" s="1" t="s">
        <v>145</v>
      </c>
    </row>
    <row r="23" spans="1:105" s="3" customFormat="1" ht="11.25" customHeight="1" x14ac:dyDescent="0.2">
      <c r="A23" s="3">
        <v>41</v>
      </c>
      <c r="B23" s="3" t="s">
        <v>575</v>
      </c>
      <c r="C23" s="3" t="s">
        <v>576</v>
      </c>
      <c r="D23" s="3">
        <v>2722</v>
      </c>
      <c r="E23" s="2" t="s">
        <v>1688</v>
      </c>
      <c r="F23" s="1"/>
      <c r="G23" s="1"/>
      <c r="H23" s="1"/>
      <c r="I23" s="1"/>
      <c r="J23" s="1"/>
      <c r="L23" s="1"/>
      <c r="M23" s="1"/>
      <c r="N23" s="1"/>
      <c r="O23" s="1"/>
      <c r="P23" s="1"/>
      <c r="Q23" s="1"/>
      <c r="R23" s="1"/>
      <c r="S23" s="1"/>
      <c r="T23" s="1"/>
      <c r="U23" s="1"/>
      <c r="W23" s="1"/>
      <c r="Z23" s="1"/>
      <c r="AA23" s="1"/>
      <c r="AB23" s="1"/>
      <c r="AC23" s="1"/>
      <c r="AD23" s="1"/>
      <c r="AE23" s="1"/>
      <c r="AF23" s="1"/>
      <c r="AG23" s="1"/>
      <c r="AH23" s="1"/>
      <c r="AI23" s="1"/>
      <c r="AJ23" s="1"/>
      <c r="AK23" s="1"/>
      <c r="AL23" s="1"/>
      <c r="AM23" s="1"/>
      <c r="AP23" s="1"/>
      <c r="AQ23" s="4"/>
      <c r="AR23" s="1"/>
      <c r="AS23" s="1"/>
      <c r="AT23" s="1"/>
      <c r="AU23" s="1"/>
      <c r="AV23" s="1"/>
      <c r="AW23" s="1"/>
      <c r="AY23" s="1"/>
      <c r="AZ23" s="1"/>
      <c r="BA23" s="1"/>
      <c r="BB23" s="1"/>
      <c r="BC23" s="1"/>
      <c r="BD23" s="1"/>
      <c r="BE23" s="1"/>
      <c r="BF23" s="1"/>
      <c r="BG23" s="1"/>
      <c r="BH23" s="1"/>
      <c r="BI23" s="1"/>
      <c r="BJ23" s="1"/>
      <c r="BK23" s="1"/>
      <c r="BL23" s="1"/>
      <c r="BM23" s="1"/>
      <c r="BN23" s="1"/>
      <c r="BP23" s="1"/>
      <c r="BQ23" s="1"/>
      <c r="BR23" s="1"/>
      <c r="BS23" s="1"/>
      <c r="BT23" s="1"/>
      <c r="BU23" s="1"/>
      <c r="BV23" s="1"/>
      <c r="BW23" s="1"/>
      <c r="BX23" s="1"/>
      <c r="BY23" s="1"/>
      <c r="BZ23" s="1"/>
      <c r="CA23" s="1"/>
      <c r="CB23" s="1"/>
      <c r="CC23" s="1"/>
      <c r="CF23" s="6"/>
      <c r="CG23" s="6"/>
      <c r="CH23" s="1"/>
      <c r="CI23" s="1"/>
      <c r="CJ23" s="1"/>
      <c r="CK23" s="1"/>
      <c r="CL23" s="1"/>
      <c r="CM23" s="1"/>
      <c r="CN23" s="1"/>
      <c r="CO23" s="1"/>
      <c r="CP23" s="1"/>
      <c r="CQ23" s="1"/>
      <c r="CR23" s="1"/>
      <c r="CS23" s="1"/>
      <c r="CT23" s="1"/>
      <c r="CU23" s="1"/>
      <c r="CV23" s="1"/>
      <c r="CW23" s="1"/>
      <c r="CX23" s="1"/>
      <c r="CY23" s="1"/>
      <c r="CZ23" s="1"/>
      <c r="DA23" s="1"/>
    </row>
    <row r="24" spans="1:105" s="3" customFormat="1" ht="11.25" customHeight="1" x14ac:dyDescent="0.2">
      <c r="A24" s="1">
        <v>41</v>
      </c>
      <c r="B24" s="1" t="s">
        <v>577</v>
      </c>
      <c r="C24" s="1" t="s">
        <v>578</v>
      </c>
      <c r="D24" s="1">
        <v>2761</v>
      </c>
      <c r="E24" s="2" t="s">
        <v>1688</v>
      </c>
      <c r="F24" s="1"/>
      <c r="G24" s="1"/>
      <c r="H24" s="1"/>
      <c r="I24" s="1"/>
      <c r="J24" s="1"/>
      <c r="K24" s="1"/>
      <c r="L24" s="1"/>
      <c r="M24" s="1"/>
      <c r="N24" s="1"/>
      <c r="O24" s="1"/>
      <c r="P24" s="1"/>
      <c r="Q24" s="1"/>
      <c r="R24" s="1"/>
      <c r="S24" s="1"/>
      <c r="T24" s="1"/>
      <c r="U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s="3" customFormat="1" ht="11.25" customHeight="1" x14ac:dyDescent="0.2">
      <c r="A25" s="1">
        <v>41</v>
      </c>
      <c r="B25" s="1" t="s">
        <v>580</v>
      </c>
      <c r="C25" s="1" t="s">
        <v>579</v>
      </c>
      <c r="D25" s="1">
        <v>2351</v>
      </c>
      <c r="E25" s="2" t="s">
        <v>4201</v>
      </c>
      <c r="F25" s="1" t="s">
        <v>113</v>
      </c>
      <c r="G25" s="1" t="s">
        <v>190</v>
      </c>
      <c r="H25" s="1" t="s">
        <v>190</v>
      </c>
      <c r="I25" s="1" t="s">
        <v>229</v>
      </c>
      <c r="J25" s="1" t="s">
        <v>229</v>
      </c>
      <c r="L25" s="1" t="s">
        <v>111</v>
      </c>
      <c r="M25" s="1" t="s">
        <v>111</v>
      </c>
      <c r="N25" s="1" t="s">
        <v>112</v>
      </c>
      <c r="O25" s="1" t="s">
        <v>106</v>
      </c>
      <c r="P25" s="1" t="s">
        <v>113</v>
      </c>
      <c r="Q25" s="1" t="s">
        <v>111</v>
      </c>
      <c r="R25" s="1" t="s">
        <v>114</v>
      </c>
      <c r="S25" s="1" t="s">
        <v>114</v>
      </c>
      <c r="T25" s="1" t="s">
        <v>113</v>
      </c>
      <c r="U25" s="1" t="s">
        <v>114</v>
      </c>
      <c r="W25" s="1" t="s">
        <v>115</v>
      </c>
      <c r="X25" s="1" t="s">
        <v>113</v>
      </c>
      <c r="Z25" s="1">
        <v>100</v>
      </c>
      <c r="AA25" s="1" t="s">
        <v>116</v>
      </c>
      <c r="AB25" s="1" t="s">
        <v>128</v>
      </c>
      <c r="AC25" s="1" t="s">
        <v>128</v>
      </c>
      <c r="AD25" s="1">
        <v>0</v>
      </c>
      <c r="AE25" s="1" t="s">
        <v>116</v>
      </c>
      <c r="AF25" s="1">
        <v>200</v>
      </c>
      <c r="AG25" s="1" t="s">
        <v>113</v>
      </c>
      <c r="AH25" s="1">
        <v>0</v>
      </c>
      <c r="AI25" s="1">
        <v>0</v>
      </c>
      <c r="AJ25" s="1">
        <v>0</v>
      </c>
      <c r="AK25" s="1" t="s">
        <v>232</v>
      </c>
      <c r="AL25" s="1">
        <v>0</v>
      </c>
      <c r="AM25" s="1" t="s">
        <v>581</v>
      </c>
      <c r="AN25" s="1">
        <v>0</v>
      </c>
      <c r="AO25" s="1" t="s">
        <v>113</v>
      </c>
      <c r="AP25" s="1" t="s">
        <v>113</v>
      </c>
      <c r="AQ25" s="1" t="s">
        <v>114</v>
      </c>
      <c r="AR25" s="1" t="s">
        <v>114</v>
      </c>
      <c r="AS25" s="1" t="s">
        <v>114</v>
      </c>
      <c r="AT25" s="1" t="s">
        <v>123</v>
      </c>
      <c r="AU25" s="1" t="s">
        <v>113</v>
      </c>
      <c r="AV25" s="1" t="s">
        <v>113</v>
      </c>
      <c r="AW25" s="1" t="s">
        <v>164</v>
      </c>
      <c r="AY25" s="1">
        <v>0</v>
      </c>
      <c r="AZ25" s="1" t="s">
        <v>113</v>
      </c>
      <c r="BA25" s="1" t="s">
        <v>113</v>
      </c>
      <c r="BB25" s="1" t="s">
        <v>125</v>
      </c>
      <c r="BD25" s="1">
        <v>0</v>
      </c>
      <c r="BE25" s="1">
        <v>100</v>
      </c>
      <c r="BF25" s="1" t="s">
        <v>167</v>
      </c>
      <c r="BG25" s="1" t="s">
        <v>116</v>
      </c>
      <c r="BJ25" s="1" t="s">
        <v>208</v>
      </c>
      <c r="BK25" s="1">
        <v>50</v>
      </c>
      <c r="BL25" s="1" t="s">
        <v>167</v>
      </c>
      <c r="BM25" s="1" t="s">
        <v>210</v>
      </c>
      <c r="BN25" s="1" t="s">
        <v>143</v>
      </c>
      <c r="BP25" s="1" t="s">
        <v>124</v>
      </c>
      <c r="BQ25" s="1" t="s">
        <v>113</v>
      </c>
      <c r="BR25" s="1" t="s">
        <v>582</v>
      </c>
      <c r="BS25" s="1" t="s">
        <v>172</v>
      </c>
      <c r="BT25" s="1" t="s">
        <v>172</v>
      </c>
      <c r="BU25" s="1" t="s">
        <v>239</v>
      </c>
      <c r="BV25" s="1" t="s">
        <v>583</v>
      </c>
      <c r="BW25" s="1" t="s">
        <v>134</v>
      </c>
      <c r="BX25" s="1" t="s">
        <v>584</v>
      </c>
      <c r="BY25" s="1" t="s">
        <v>135</v>
      </c>
      <c r="BZ25" s="1" t="s">
        <v>585</v>
      </c>
      <c r="CA25" s="1">
        <v>220</v>
      </c>
      <c r="CB25" s="1" t="s">
        <v>137</v>
      </c>
      <c r="CC25" s="1" t="s">
        <v>138</v>
      </c>
      <c r="CF25" s="1">
        <v>0</v>
      </c>
      <c r="CG25" s="1">
        <v>182000</v>
      </c>
      <c r="CH25" s="1">
        <v>827.27</v>
      </c>
      <c r="CI25" s="1">
        <v>0</v>
      </c>
      <c r="CJ25" s="1">
        <v>0</v>
      </c>
      <c r="CK25" s="1">
        <v>410</v>
      </c>
      <c r="CL25" s="1">
        <v>0</v>
      </c>
      <c r="CM25" s="1">
        <v>0</v>
      </c>
      <c r="CN25" s="1">
        <v>0</v>
      </c>
      <c r="CO25" s="1">
        <v>0</v>
      </c>
      <c r="CP25" s="1">
        <v>0</v>
      </c>
      <c r="CQ25" s="1">
        <v>0</v>
      </c>
      <c r="CR25" s="1" t="s">
        <v>139</v>
      </c>
      <c r="CS25" s="1" t="s">
        <v>308</v>
      </c>
      <c r="CT25" s="1" t="s">
        <v>288</v>
      </c>
      <c r="CV25" s="1" t="s">
        <v>586</v>
      </c>
      <c r="CW25" s="1" t="s">
        <v>251</v>
      </c>
      <c r="CX25" s="1" t="s">
        <v>114</v>
      </c>
      <c r="CY25" s="1" t="s">
        <v>143</v>
      </c>
      <c r="CZ25" s="1" t="s">
        <v>144</v>
      </c>
      <c r="DA25" s="1" t="s">
        <v>145</v>
      </c>
    </row>
    <row r="26" spans="1:105" s="3" customFormat="1" ht="11.25" customHeight="1" x14ac:dyDescent="0.2">
      <c r="A26" s="1">
        <v>41</v>
      </c>
      <c r="B26" s="1" t="s">
        <v>588</v>
      </c>
      <c r="C26" s="1" t="s">
        <v>587</v>
      </c>
      <c r="D26" s="1">
        <v>13643</v>
      </c>
      <c r="E26" s="2" t="s">
        <v>4201</v>
      </c>
      <c r="F26" s="1" t="s">
        <v>113</v>
      </c>
      <c r="G26" s="1" t="s">
        <v>589</v>
      </c>
      <c r="H26" s="1" t="s">
        <v>589</v>
      </c>
      <c r="I26" s="1" t="s">
        <v>589</v>
      </c>
      <c r="J26" s="1" t="s">
        <v>229</v>
      </c>
      <c r="L26" s="1" t="s">
        <v>111</v>
      </c>
      <c r="M26" s="1" t="s">
        <v>191</v>
      </c>
      <c r="N26" s="1" t="s">
        <v>112</v>
      </c>
      <c r="O26" s="1" t="s">
        <v>106</v>
      </c>
      <c r="P26" s="1" t="s">
        <v>113</v>
      </c>
      <c r="Q26" s="1" t="s">
        <v>152</v>
      </c>
      <c r="R26" s="1" t="s">
        <v>157</v>
      </c>
      <c r="S26" s="1" t="s">
        <v>157</v>
      </c>
      <c r="T26" s="1" t="s">
        <v>106</v>
      </c>
      <c r="U26" s="1" t="s">
        <v>157</v>
      </c>
      <c r="W26" s="1" t="s">
        <v>199</v>
      </c>
      <c r="X26" s="1" t="s">
        <v>113</v>
      </c>
      <c r="Y26" s="1" t="s">
        <v>157</v>
      </c>
      <c r="Z26" s="1">
        <v>100</v>
      </c>
      <c r="AA26" s="1" t="s">
        <v>116</v>
      </c>
      <c r="AB26" s="1" t="s">
        <v>117</v>
      </c>
      <c r="AC26" s="1" t="s">
        <v>118</v>
      </c>
      <c r="AD26" s="1">
        <v>10</v>
      </c>
      <c r="AE26" s="1" t="s">
        <v>116</v>
      </c>
      <c r="AF26" s="1">
        <v>2456</v>
      </c>
      <c r="AG26" s="1" t="s">
        <v>106</v>
      </c>
      <c r="AH26" s="1">
        <v>30</v>
      </c>
      <c r="AI26" s="1">
        <v>50</v>
      </c>
      <c r="AJ26" s="1">
        <v>15</v>
      </c>
      <c r="AK26" s="1" t="s">
        <v>232</v>
      </c>
      <c r="AL26" s="1">
        <v>0</v>
      </c>
      <c r="AM26" s="1" t="s">
        <v>590</v>
      </c>
      <c r="AN26" s="1">
        <v>0</v>
      </c>
      <c r="AO26" s="1" t="s">
        <v>113</v>
      </c>
      <c r="AP26" s="1" t="s">
        <v>113</v>
      </c>
      <c r="AQ26" s="1" t="s">
        <v>157</v>
      </c>
      <c r="AR26" s="1" t="s">
        <v>157</v>
      </c>
      <c r="AS26" s="1" t="s">
        <v>157</v>
      </c>
      <c r="AT26" s="1" t="s">
        <v>123</v>
      </c>
      <c r="AU26" s="1" t="s">
        <v>113</v>
      </c>
      <c r="AV26" s="1" t="s">
        <v>113</v>
      </c>
      <c r="AW26" s="1" t="s">
        <v>164</v>
      </c>
      <c r="AY26" s="1">
        <v>0</v>
      </c>
      <c r="AZ26" s="1" t="s">
        <v>113</v>
      </c>
      <c r="BA26" s="1" t="s">
        <v>113</v>
      </c>
      <c r="BB26" s="1" t="s">
        <v>125</v>
      </c>
      <c r="BC26" s="1" t="s">
        <v>166</v>
      </c>
      <c r="BD26" s="1">
        <v>0</v>
      </c>
      <c r="BE26" s="1">
        <v>100</v>
      </c>
      <c r="BF26" s="1" t="s">
        <v>167</v>
      </c>
      <c r="BG26" s="1" t="s">
        <v>116</v>
      </c>
      <c r="BH26" s="1" t="s">
        <v>168</v>
      </c>
      <c r="BI26" s="1" t="s">
        <v>269</v>
      </c>
      <c r="BJ26" s="1" t="s">
        <v>208</v>
      </c>
      <c r="BK26" s="1">
        <v>10</v>
      </c>
      <c r="BL26" s="1" t="s">
        <v>167</v>
      </c>
      <c r="BM26" s="1" t="s">
        <v>210</v>
      </c>
      <c r="BN26" s="1">
        <v>6</v>
      </c>
      <c r="BO26" s="1">
        <v>3</v>
      </c>
      <c r="BP26" s="1" t="s">
        <v>124</v>
      </c>
      <c r="BQ26" s="1" t="s">
        <v>591</v>
      </c>
      <c r="BR26" s="1" t="s">
        <v>592</v>
      </c>
      <c r="BS26" s="1" t="s">
        <v>593</v>
      </c>
      <c r="BT26" s="1" t="s">
        <v>172</v>
      </c>
      <c r="BU26" s="1" t="s">
        <v>132</v>
      </c>
      <c r="BV26" s="1" t="s">
        <v>594</v>
      </c>
      <c r="BW26" s="1" t="s">
        <v>134</v>
      </c>
      <c r="BX26" s="1" t="s">
        <v>595</v>
      </c>
      <c r="BY26" s="1" t="s">
        <v>135</v>
      </c>
      <c r="BZ26" s="1" t="s">
        <v>596</v>
      </c>
      <c r="CA26" s="1">
        <v>2456</v>
      </c>
      <c r="CB26" s="1" t="s">
        <v>176</v>
      </c>
      <c r="CC26" s="1" t="s">
        <v>177</v>
      </c>
      <c r="CD26" s="1" t="s">
        <v>597</v>
      </c>
      <c r="CE26" s="1" t="s">
        <v>179</v>
      </c>
      <c r="CF26" s="1">
        <v>1056000</v>
      </c>
      <c r="CG26" s="1">
        <v>1116000</v>
      </c>
      <c r="CH26" s="1">
        <v>72000</v>
      </c>
      <c r="CI26" s="1">
        <v>0</v>
      </c>
      <c r="CJ26" s="1">
        <v>0</v>
      </c>
      <c r="CK26" s="1">
        <v>336000</v>
      </c>
      <c r="CL26" s="1">
        <v>60000</v>
      </c>
      <c r="CM26" s="1">
        <v>0</v>
      </c>
      <c r="CN26" s="1">
        <v>0</v>
      </c>
      <c r="CO26" s="1">
        <v>0</v>
      </c>
      <c r="CP26" s="1">
        <v>0</v>
      </c>
      <c r="CQ26" s="1">
        <v>0</v>
      </c>
      <c r="CR26" s="1" t="s">
        <v>139</v>
      </c>
      <c r="CS26" s="1" t="s">
        <v>308</v>
      </c>
      <c r="CT26" s="1" t="s">
        <v>598</v>
      </c>
      <c r="CV26" s="1" t="s">
        <v>599</v>
      </c>
      <c r="CW26" s="1" t="s">
        <v>184</v>
      </c>
      <c r="CX26" s="1" t="s">
        <v>600</v>
      </c>
      <c r="CY26" s="1" t="s">
        <v>157</v>
      </c>
      <c r="CZ26" s="1" t="s">
        <v>144</v>
      </c>
      <c r="DA26" s="1" t="s">
        <v>145</v>
      </c>
    </row>
    <row r="27" spans="1:105" s="3" customFormat="1" ht="11.25" customHeight="1" x14ac:dyDescent="0.2">
      <c r="A27" s="1">
        <v>41</v>
      </c>
      <c r="B27" s="1" t="s">
        <v>602</v>
      </c>
      <c r="C27" s="1" t="s">
        <v>601</v>
      </c>
      <c r="D27" s="1">
        <v>38105</v>
      </c>
      <c r="E27" s="2" t="s">
        <v>4201</v>
      </c>
      <c r="F27" s="1" t="s">
        <v>106</v>
      </c>
      <c r="G27" s="1" t="s">
        <v>603</v>
      </c>
      <c r="H27" s="1" t="s">
        <v>604</v>
      </c>
      <c r="I27" s="1" t="s">
        <v>605</v>
      </c>
      <c r="J27" s="1" t="s">
        <v>113</v>
      </c>
      <c r="K27" s="1" t="s">
        <v>604</v>
      </c>
      <c r="L27" s="1" t="s">
        <v>111</v>
      </c>
      <c r="M27" s="1" t="s">
        <v>111</v>
      </c>
      <c r="N27" s="1" t="s">
        <v>151</v>
      </c>
      <c r="O27" s="1" t="s">
        <v>106</v>
      </c>
      <c r="P27" s="1" t="s">
        <v>113</v>
      </c>
      <c r="Q27" s="1" t="s">
        <v>258</v>
      </c>
      <c r="R27" s="1" t="s">
        <v>606</v>
      </c>
      <c r="S27" s="1" t="s">
        <v>607</v>
      </c>
      <c r="T27" s="1" t="s">
        <v>106</v>
      </c>
      <c r="U27" s="1" t="s">
        <v>114</v>
      </c>
      <c r="V27" s="1" t="s">
        <v>608</v>
      </c>
      <c r="W27" s="1" t="s">
        <v>115</v>
      </c>
      <c r="X27" s="1" t="s">
        <v>113</v>
      </c>
      <c r="Y27" s="1" t="s">
        <v>114</v>
      </c>
      <c r="Z27" s="1">
        <v>100</v>
      </c>
      <c r="AA27" s="1" t="s">
        <v>116</v>
      </c>
      <c r="AB27" s="1" t="s">
        <v>128</v>
      </c>
      <c r="AC27" s="1" t="s">
        <v>118</v>
      </c>
      <c r="AD27" s="1">
        <v>10</v>
      </c>
      <c r="AE27" s="1" t="s">
        <v>116</v>
      </c>
      <c r="AF27" s="1">
        <v>6735</v>
      </c>
      <c r="AG27" s="1" t="s">
        <v>106</v>
      </c>
      <c r="AH27" s="1">
        <v>60</v>
      </c>
      <c r="AI27" s="1">
        <v>15</v>
      </c>
      <c r="AJ27" s="1">
        <v>25</v>
      </c>
      <c r="AK27" s="1" t="s">
        <v>200</v>
      </c>
      <c r="AM27" s="1" t="s">
        <v>363</v>
      </c>
      <c r="AO27" s="1" t="s">
        <v>113</v>
      </c>
      <c r="AP27" s="1" t="s">
        <v>106</v>
      </c>
      <c r="AQ27" s="1" t="s">
        <v>609</v>
      </c>
      <c r="AR27" s="1" t="s">
        <v>610</v>
      </c>
      <c r="AS27" s="1" t="s">
        <v>611</v>
      </c>
      <c r="AT27" s="1" t="s">
        <v>123</v>
      </c>
      <c r="AU27" s="1" t="s">
        <v>106</v>
      </c>
      <c r="AV27" s="1" t="s">
        <v>106</v>
      </c>
      <c r="AW27" s="1" t="s">
        <v>234</v>
      </c>
      <c r="AX27" s="1" t="s">
        <v>550</v>
      </c>
      <c r="AY27" s="1">
        <v>0</v>
      </c>
      <c r="AZ27" s="1" t="s">
        <v>113</v>
      </c>
      <c r="BA27" s="1" t="s">
        <v>113</v>
      </c>
      <c r="BB27" s="1" t="s">
        <v>125</v>
      </c>
      <c r="BC27" s="1" t="s">
        <v>166</v>
      </c>
      <c r="BD27" s="1">
        <v>0</v>
      </c>
      <c r="BE27" s="1">
        <v>100</v>
      </c>
      <c r="BF27" s="1" t="s">
        <v>167</v>
      </c>
      <c r="BG27" s="1" t="s">
        <v>268</v>
      </c>
      <c r="BH27" s="1" t="s">
        <v>269</v>
      </c>
      <c r="BI27" s="1" t="s">
        <v>269</v>
      </c>
      <c r="BJ27" s="1" t="s">
        <v>208</v>
      </c>
      <c r="BK27" s="1">
        <v>10</v>
      </c>
      <c r="BL27" s="1" t="s">
        <v>167</v>
      </c>
      <c r="BM27" s="1" t="s">
        <v>386</v>
      </c>
      <c r="BN27" s="1">
        <v>35</v>
      </c>
      <c r="BO27" s="1">
        <v>9</v>
      </c>
      <c r="BP27" s="1" t="s">
        <v>115</v>
      </c>
      <c r="BQ27" s="1" t="s">
        <v>388</v>
      </c>
      <c r="BR27" s="1" t="s">
        <v>612</v>
      </c>
      <c r="BS27" s="1" t="s">
        <v>613</v>
      </c>
      <c r="BT27" s="1" t="s">
        <v>172</v>
      </c>
      <c r="BU27" s="1" t="s">
        <v>132</v>
      </c>
      <c r="BV27" s="1" t="s">
        <v>614</v>
      </c>
      <c r="BW27" s="1" t="s">
        <v>134</v>
      </c>
      <c r="BX27" s="1" t="s">
        <v>135</v>
      </c>
      <c r="BY27" s="1" t="s">
        <v>135</v>
      </c>
      <c r="BZ27" s="1" t="s">
        <v>615</v>
      </c>
      <c r="CA27" s="1">
        <v>6735</v>
      </c>
      <c r="CB27" s="1" t="s">
        <v>244</v>
      </c>
      <c r="CC27" s="1" t="s">
        <v>496</v>
      </c>
      <c r="CD27" s="1" t="s">
        <v>616</v>
      </c>
      <c r="CE27" s="1" t="s">
        <v>478</v>
      </c>
      <c r="CF27" s="1">
        <v>2548446</v>
      </c>
      <c r="CG27" s="1">
        <v>6094753</v>
      </c>
      <c r="CH27" s="1">
        <v>3344690</v>
      </c>
      <c r="CI27" s="1">
        <v>0</v>
      </c>
      <c r="CJ27" s="1">
        <v>2126640</v>
      </c>
      <c r="CK27" s="1">
        <v>543223</v>
      </c>
      <c r="CL27" s="1">
        <v>279889</v>
      </c>
      <c r="CM27" s="1">
        <v>80200</v>
      </c>
      <c r="CN27" s="1">
        <v>0</v>
      </c>
      <c r="CO27" s="1">
        <v>0</v>
      </c>
      <c r="CP27" s="1">
        <v>0</v>
      </c>
      <c r="CQ27" s="1">
        <v>0</v>
      </c>
      <c r="CR27" s="1" t="s">
        <v>139</v>
      </c>
      <c r="CS27" s="1" t="s">
        <v>308</v>
      </c>
      <c r="CT27" s="1" t="s">
        <v>288</v>
      </c>
      <c r="CU27" s="1" t="s">
        <v>617</v>
      </c>
      <c r="CV27" s="1" t="s">
        <v>310</v>
      </c>
      <c r="CW27" s="1" t="s">
        <v>420</v>
      </c>
      <c r="CX27" s="1" t="s">
        <v>618</v>
      </c>
      <c r="CY27" s="1" t="s">
        <v>619</v>
      </c>
      <c r="CZ27" s="1" t="s">
        <v>144</v>
      </c>
      <c r="DA27" s="1" t="s">
        <v>145</v>
      </c>
    </row>
    <row r="28" spans="1:105" s="3" customFormat="1" ht="11.25" customHeight="1" x14ac:dyDescent="0.2">
      <c r="A28" s="1">
        <v>41</v>
      </c>
      <c r="B28" s="1" t="s">
        <v>621</v>
      </c>
      <c r="C28" s="1" t="s">
        <v>620</v>
      </c>
      <c r="D28" s="1">
        <v>13871</v>
      </c>
      <c r="E28" s="2" t="s">
        <v>4201</v>
      </c>
      <c r="F28" s="1" t="s">
        <v>106</v>
      </c>
      <c r="G28" s="1" t="s">
        <v>107</v>
      </c>
      <c r="H28" s="1" t="s">
        <v>108</v>
      </c>
      <c r="I28" s="1" t="s">
        <v>109</v>
      </c>
      <c r="J28" s="1" t="s">
        <v>106</v>
      </c>
      <c r="K28" s="1" t="s">
        <v>110</v>
      </c>
      <c r="L28" s="1" t="s">
        <v>111</v>
      </c>
      <c r="M28" s="1" t="s">
        <v>111</v>
      </c>
      <c r="N28" s="1" t="s">
        <v>112</v>
      </c>
      <c r="O28" s="1" t="s">
        <v>106</v>
      </c>
      <c r="P28" s="1" t="s">
        <v>113</v>
      </c>
      <c r="Q28" s="1" t="s">
        <v>195</v>
      </c>
      <c r="R28" s="1" t="s">
        <v>623</v>
      </c>
      <c r="S28" s="1" t="s">
        <v>624</v>
      </c>
      <c r="T28" s="1" t="s">
        <v>113</v>
      </c>
      <c r="U28" s="1" t="s">
        <v>157</v>
      </c>
      <c r="V28" s="1" t="s">
        <v>625</v>
      </c>
      <c r="W28" s="1" t="s">
        <v>115</v>
      </c>
      <c r="X28" s="1" t="s">
        <v>113</v>
      </c>
      <c r="Y28" s="1" t="s">
        <v>157</v>
      </c>
      <c r="Z28" s="1">
        <v>100</v>
      </c>
      <c r="AA28" s="1" t="s">
        <v>132</v>
      </c>
      <c r="AB28" s="1" t="s">
        <v>128</v>
      </c>
      <c r="AC28" s="1" t="s">
        <v>384</v>
      </c>
      <c r="AD28" s="1">
        <v>100</v>
      </c>
      <c r="AE28" s="1" t="s">
        <v>132</v>
      </c>
      <c r="AF28" s="1">
        <v>2380</v>
      </c>
      <c r="AG28" s="1" t="s">
        <v>113</v>
      </c>
      <c r="AH28" s="1">
        <v>88</v>
      </c>
      <c r="AI28" s="1">
        <v>12</v>
      </c>
      <c r="AJ28" s="1">
        <v>0</v>
      </c>
      <c r="AK28" s="1" t="s">
        <v>626</v>
      </c>
      <c r="AL28" s="1">
        <v>0</v>
      </c>
      <c r="AM28" s="1" t="s">
        <v>627</v>
      </c>
      <c r="AN28" s="1">
        <v>0</v>
      </c>
      <c r="AO28" s="1" t="s">
        <v>113</v>
      </c>
      <c r="AP28" s="1" t="s">
        <v>113</v>
      </c>
      <c r="AQ28" s="1" t="s">
        <v>114</v>
      </c>
      <c r="AR28" s="1" t="s">
        <v>114</v>
      </c>
      <c r="AS28" s="1" t="s">
        <v>114</v>
      </c>
      <c r="AT28" s="1" t="s">
        <v>628</v>
      </c>
      <c r="AU28" s="1" t="s">
        <v>113</v>
      </c>
      <c r="AV28" s="1" t="s">
        <v>113</v>
      </c>
      <c r="AW28" s="1" t="s">
        <v>629</v>
      </c>
      <c r="AX28" s="1" t="s">
        <v>165</v>
      </c>
      <c r="AY28" s="1">
        <v>0</v>
      </c>
      <c r="AZ28" s="1" t="s">
        <v>113</v>
      </c>
      <c r="BA28" s="1" t="s">
        <v>113</v>
      </c>
      <c r="BB28" s="1" t="s">
        <v>125</v>
      </c>
      <c r="BC28" s="1" t="s">
        <v>166</v>
      </c>
      <c r="BD28" s="1">
        <v>0</v>
      </c>
      <c r="BE28" s="1">
        <v>100</v>
      </c>
      <c r="BF28" s="1" t="s">
        <v>630</v>
      </c>
      <c r="BG28" s="1" t="s">
        <v>132</v>
      </c>
      <c r="BH28" s="1" t="s">
        <v>269</v>
      </c>
      <c r="BI28" s="1" t="s">
        <v>269</v>
      </c>
      <c r="BJ28" s="1" t="s">
        <v>384</v>
      </c>
      <c r="BK28" s="1">
        <v>100</v>
      </c>
      <c r="BL28" s="1" t="s">
        <v>294</v>
      </c>
      <c r="BM28" s="1" t="s">
        <v>472</v>
      </c>
      <c r="BN28" s="1" t="s">
        <v>276</v>
      </c>
      <c r="BO28" s="1" t="s">
        <v>276</v>
      </c>
      <c r="BP28" s="1" t="s">
        <v>115</v>
      </c>
      <c r="BQ28" s="1" t="s">
        <v>110</v>
      </c>
      <c r="BR28" s="1" t="s">
        <v>631</v>
      </c>
      <c r="BS28" s="1" t="s">
        <v>130</v>
      </c>
      <c r="BT28" s="1" t="s">
        <v>172</v>
      </c>
      <c r="BU28" s="1" t="s">
        <v>632</v>
      </c>
      <c r="BV28" s="1" t="s">
        <v>174</v>
      </c>
      <c r="BW28" s="1" t="s">
        <v>134</v>
      </c>
      <c r="BX28" s="1" t="s">
        <v>633</v>
      </c>
      <c r="BY28" s="1" t="s">
        <v>135</v>
      </c>
      <c r="BZ28" s="1">
        <v>0</v>
      </c>
      <c r="CA28" s="1">
        <v>2114</v>
      </c>
      <c r="CB28" s="1" t="s">
        <v>176</v>
      </c>
      <c r="CC28" s="1" t="s">
        <v>301</v>
      </c>
      <c r="CD28" s="1" t="s">
        <v>623</v>
      </c>
      <c r="CE28" s="1" t="s">
        <v>179</v>
      </c>
      <c r="CF28" s="6">
        <v>833685.06</v>
      </c>
      <c r="CG28" s="6">
        <v>2662278.58</v>
      </c>
      <c r="CH28" s="1">
        <v>596</v>
      </c>
      <c r="CI28" s="1">
        <v>0</v>
      </c>
      <c r="CJ28" s="1">
        <v>102.34</v>
      </c>
      <c r="CK28" s="1">
        <v>1527</v>
      </c>
      <c r="CL28" s="1">
        <v>150</v>
      </c>
      <c r="CM28" s="1">
        <v>0</v>
      </c>
      <c r="CN28" s="1">
        <v>0</v>
      </c>
      <c r="CO28" s="1">
        <v>0</v>
      </c>
      <c r="CP28" s="1">
        <v>0</v>
      </c>
      <c r="CQ28" s="1">
        <v>0</v>
      </c>
      <c r="CR28" s="1" t="s">
        <v>139</v>
      </c>
      <c r="CS28" s="1" t="s">
        <v>140</v>
      </c>
      <c r="CT28" s="1" t="s">
        <v>634</v>
      </c>
      <c r="CV28" s="1" t="s">
        <v>635</v>
      </c>
      <c r="CW28" s="1" t="s">
        <v>284</v>
      </c>
      <c r="CX28" s="1" t="s">
        <v>636</v>
      </c>
      <c r="CY28" s="1" t="s">
        <v>276</v>
      </c>
      <c r="CZ28" s="1" t="s">
        <v>144</v>
      </c>
      <c r="DA28" s="1" t="s">
        <v>145</v>
      </c>
    </row>
    <row r="29" spans="1:105" s="3" customFormat="1" ht="11.25" customHeight="1" x14ac:dyDescent="0.2">
      <c r="A29" s="1">
        <v>41</v>
      </c>
      <c r="B29" s="1" t="s">
        <v>638</v>
      </c>
      <c r="C29" s="1" t="s">
        <v>637</v>
      </c>
      <c r="D29" s="1">
        <v>31807</v>
      </c>
      <c r="E29" s="2" t="s">
        <v>4201</v>
      </c>
      <c r="F29" s="1" t="s">
        <v>113</v>
      </c>
      <c r="G29" s="1" t="s">
        <v>639</v>
      </c>
      <c r="H29" s="1" t="s">
        <v>640</v>
      </c>
      <c r="I29" s="1" t="s">
        <v>641</v>
      </c>
      <c r="J29" s="1" t="s">
        <v>229</v>
      </c>
      <c r="K29" s="1" t="s">
        <v>642</v>
      </c>
      <c r="L29" s="1" t="s">
        <v>149</v>
      </c>
      <c r="M29" s="1" t="s">
        <v>643</v>
      </c>
      <c r="N29" s="1" t="s">
        <v>506</v>
      </c>
      <c r="O29" s="1" t="s">
        <v>113</v>
      </c>
      <c r="P29" s="1" t="s">
        <v>113</v>
      </c>
      <c r="Q29" s="1" t="s">
        <v>195</v>
      </c>
      <c r="R29" s="1" t="s">
        <v>644</v>
      </c>
      <c r="S29" s="1" t="s">
        <v>645</v>
      </c>
      <c r="T29" s="1" t="s">
        <v>106</v>
      </c>
      <c r="U29" s="1" t="s">
        <v>646</v>
      </c>
      <c r="V29" s="1" t="s">
        <v>647</v>
      </c>
      <c r="W29" s="1" t="s">
        <v>115</v>
      </c>
      <c r="X29" s="1" t="s">
        <v>113</v>
      </c>
      <c r="Y29" s="1" t="s">
        <v>114</v>
      </c>
      <c r="Z29" s="1">
        <v>100</v>
      </c>
      <c r="AA29" s="1" t="s">
        <v>116</v>
      </c>
      <c r="AB29" s="1" t="s">
        <v>128</v>
      </c>
      <c r="AC29" s="1" t="s">
        <v>118</v>
      </c>
      <c r="AD29" s="1">
        <v>40</v>
      </c>
      <c r="AE29" s="1" t="s">
        <v>116</v>
      </c>
      <c r="AF29" s="1">
        <v>7000</v>
      </c>
      <c r="AG29" s="1" t="s">
        <v>113</v>
      </c>
      <c r="AH29" s="1">
        <v>0</v>
      </c>
      <c r="AI29" s="1">
        <v>0</v>
      </c>
      <c r="AJ29" s="1">
        <v>0</v>
      </c>
      <c r="AK29" s="1" t="s">
        <v>648</v>
      </c>
      <c r="AL29" s="1">
        <v>0</v>
      </c>
      <c r="AM29" s="1" t="s">
        <v>649</v>
      </c>
      <c r="AN29" s="1">
        <v>0</v>
      </c>
      <c r="AO29" s="1" t="s">
        <v>113</v>
      </c>
      <c r="AP29" s="1" t="s">
        <v>113</v>
      </c>
      <c r="AQ29" s="1" t="s">
        <v>157</v>
      </c>
      <c r="AR29" s="1" t="s">
        <v>157</v>
      </c>
      <c r="AS29" s="1" t="s">
        <v>157</v>
      </c>
      <c r="AT29" s="1" t="s">
        <v>650</v>
      </c>
      <c r="AU29" s="1" t="s">
        <v>113</v>
      </c>
      <c r="AV29" s="1" t="s">
        <v>113</v>
      </c>
      <c r="AW29" s="1" t="s">
        <v>164</v>
      </c>
      <c r="AX29" s="1" t="s">
        <v>235</v>
      </c>
      <c r="AY29" s="1">
        <v>0</v>
      </c>
      <c r="AZ29" s="1" t="s">
        <v>113</v>
      </c>
      <c r="BA29" s="1" t="s">
        <v>113</v>
      </c>
      <c r="BB29" s="1" t="s">
        <v>125</v>
      </c>
      <c r="BD29" s="1">
        <v>0</v>
      </c>
      <c r="BE29" s="1">
        <v>100</v>
      </c>
      <c r="BF29" s="1" t="s">
        <v>167</v>
      </c>
      <c r="BG29" s="1" t="s">
        <v>268</v>
      </c>
      <c r="BH29" s="1" t="s">
        <v>651</v>
      </c>
      <c r="BI29" s="1" t="s">
        <v>651</v>
      </c>
      <c r="BJ29" s="1" t="s">
        <v>208</v>
      </c>
      <c r="BK29" s="1">
        <v>40</v>
      </c>
      <c r="BL29" s="1" t="s">
        <v>167</v>
      </c>
      <c r="BM29" s="1" t="s">
        <v>271</v>
      </c>
      <c r="BN29" s="1" t="s">
        <v>652</v>
      </c>
      <c r="BO29" s="1" t="s">
        <v>276</v>
      </c>
      <c r="BP29" s="1" t="s">
        <v>124</v>
      </c>
      <c r="BQ29" s="1" t="s">
        <v>653</v>
      </c>
      <c r="BR29" s="1" t="s">
        <v>654</v>
      </c>
      <c r="BS29" s="1" t="s">
        <v>655</v>
      </c>
      <c r="BT29" s="1" t="s">
        <v>172</v>
      </c>
      <c r="BU29" s="1" t="s">
        <v>239</v>
      </c>
      <c r="BV29" s="1" t="s">
        <v>656</v>
      </c>
      <c r="BW29" s="1" t="s">
        <v>134</v>
      </c>
      <c r="BX29" s="1" t="s">
        <v>276</v>
      </c>
      <c r="BY29" s="1" t="s">
        <v>135</v>
      </c>
      <c r="BZ29" s="1" t="s">
        <v>657</v>
      </c>
      <c r="CA29" s="1">
        <v>7000</v>
      </c>
      <c r="CB29" s="1" t="s">
        <v>244</v>
      </c>
      <c r="CC29" s="1" t="s">
        <v>658</v>
      </c>
      <c r="CD29" s="1" t="s">
        <v>659</v>
      </c>
      <c r="CE29" s="1" t="s">
        <v>660</v>
      </c>
      <c r="CF29" s="1">
        <v>1695000</v>
      </c>
      <c r="CG29" s="1">
        <v>960000</v>
      </c>
      <c r="CH29" s="1">
        <v>120</v>
      </c>
      <c r="CI29" s="1">
        <v>0</v>
      </c>
      <c r="CJ29" s="1">
        <v>120</v>
      </c>
      <c r="CK29" s="1">
        <v>250</v>
      </c>
      <c r="CL29" s="1">
        <v>0</v>
      </c>
      <c r="CM29" s="1">
        <v>0</v>
      </c>
      <c r="CN29" s="1">
        <v>0</v>
      </c>
      <c r="CO29" s="1">
        <v>0</v>
      </c>
      <c r="CP29" s="1">
        <v>0</v>
      </c>
      <c r="CQ29" s="1">
        <v>0</v>
      </c>
      <c r="CR29" s="1" t="s">
        <v>418</v>
      </c>
      <c r="CS29" s="1" t="s">
        <v>140</v>
      </c>
      <c r="CT29" s="1" t="s">
        <v>661</v>
      </c>
      <c r="CV29" s="1" t="s">
        <v>662</v>
      </c>
      <c r="CW29" s="1" t="s">
        <v>141</v>
      </c>
      <c r="CX29" s="1" t="s">
        <v>663</v>
      </c>
      <c r="CY29" s="1" t="s">
        <v>276</v>
      </c>
      <c r="CZ29" s="1" t="s">
        <v>144</v>
      </c>
      <c r="DA29" s="1" t="s">
        <v>145</v>
      </c>
    </row>
    <row r="30" spans="1:105" s="3" customFormat="1" ht="11.25" customHeight="1" x14ac:dyDescent="0.2">
      <c r="A30" s="1">
        <v>41</v>
      </c>
      <c r="B30" s="1" t="s">
        <v>665</v>
      </c>
      <c r="C30" s="1" t="s">
        <v>664</v>
      </c>
      <c r="D30" s="1">
        <v>10692</v>
      </c>
      <c r="E30" s="2" t="s">
        <v>4201</v>
      </c>
      <c r="F30" s="1" t="s">
        <v>113</v>
      </c>
      <c r="H30" s="1" t="s">
        <v>190</v>
      </c>
      <c r="I30" s="1" t="s">
        <v>229</v>
      </c>
      <c r="J30" s="1" t="s">
        <v>113</v>
      </c>
      <c r="K30" s="1" t="s">
        <v>190</v>
      </c>
      <c r="L30" s="1" t="s">
        <v>111</v>
      </c>
      <c r="M30" s="1" t="s">
        <v>465</v>
      </c>
      <c r="N30" s="1" t="s">
        <v>112</v>
      </c>
      <c r="O30" s="1" t="s">
        <v>113</v>
      </c>
      <c r="P30" s="1" t="s">
        <v>113</v>
      </c>
      <c r="Q30" s="1" t="s">
        <v>195</v>
      </c>
      <c r="R30" s="1" t="s">
        <v>666</v>
      </c>
      <c r="S30" s="1" t="s">
        <v>111</v>
      </c>
      <c r="T30" s="1" t="s">
        <v>106</v>
      </c>
      <c r="U30" s="1" t="s">
        <v>666</v>
      </c>
      <c r="V30" s="1" t="s">
        <v>667</v>
      </c>
      <c r="W30" s="1" t="s">
        <v>115</v>
      </c>
      <c r="X30" s="1" t="s">
        <v>113</v>
      </c>
      <c r="Y30" s="1" t="s">
        <v>111</v>
      </c>
      <c r="Z30" s="1">
        <v>100</v>
      </c>
      <c r="AA30" s="1" t="s">
        <v>116</v>
      </c>
      <c r="AB30" s="1" t="s">
        <v>128</v>
      </c>
      <c r="AC30" s="1" t="s">
        <v>118</v>
      </c>
      <c r="AD30" s="1">
        <v>67</v>
      </c>
      <c r="AE30" s="1" t="s">
        <v>116</v>
      </c>
      <c r="AF30" s="4">
        <v>1952</v>
      </c>
      <c r="AG30" s="1" t="s">
        <v>113</v>
      </c>
      <c r="AH30" s="1">
        <v>0</v>
      </c>
      <c r="AI30" s="1">
        <v>8</v>
      </c>
      <c r="AJ30" s="1">
        <v>0</v>
      </c>
      <c r="AK30" s="1" t="s">
        <v>119</v>
      </c>
      <c r="AL30" s="1">
        <v>0</v>
      </c>
      <c r="AM30" s="1" t="s">
        <v>668</v>
      </c>
      <c r="AN30" s="1">
        <v>0</v>
      </c>
      <c r="AO30" s="1" t="s">
        <v>113</v>
      </c>
      <c r="AP30" s="1" t="s">
        <v>106</v>
      </c>
      <c r="AQ30" s="1" t="s">
        <v>669</v>
      </c>
      <c r="AR30" s="1" t="s">
        <v>670</v>
      </c>
      <c r="AS30" s="1" t="s">
        <v>671</v>
      </c>
      <c r="AT30" s="1" t="s">
        <v>123</v>
      </c>
      <c r="AU30" s="1" t="s">
        <v>106</v>
      </c>
      <c r="AV30" s="1" t="s">
        <v>113</v>
      </c>
      <c r="AW30" s="1" t="s">
        <v>205</v>
      </c>
      <c r="AX30" s="1" t="s">
        <v>235</v>
      </c>
      <c r="AY30" s="1">
        <v>0</v>
      </c>
      <c r="AZ30" s="1" t="s">
        <v>113</v>
      </c>
      <c r="BA30" s="1" t="s">
        <v>113</v>
      </c>
      <c r="BB30" s="1" t="s">
        <v>125</v>
      </c>
      <c r="BC30" s="1" t="s">
        <v>166</v>
      </c>
      <c r="BD30" s="1">
        <v>0</v>
      </c>
      <c r="BE30" s="1">
        <v>100</v>
      </c>
      <c r="BF30" s="1" t="s">
        <v>167</v>
      </c>
      <c r="BG30" s="1" t="s">
        <v>268</v>
      </c>
      <c r="BH30" s="1" t="s">
        <v>569</v>
      </c>
      <c r="BI30" s="1" t="s">
        <v>569</v>
      </c>
      <c r="BJ30" s="1" t="s">
        <v>208</v>
      </c>
      <c r="BK30" s="1">
        <v>30</v>
      </c>
      <c r="BL30" s="1" t="s">
        <v>167</v>
      </c>
      <c r="BM30" s="1" t="s">
        <v>271</v>
      </c>
      <c r="BN30" s="1">
        <v>6</v>
      </c>
      <c r="BO30" s="1">
        <v>3</v>
      </c>
      <c r="BP30" s="1" t="s">
        <v>115</v>
      </c>
      <c r="BQ30" s="1" t="s">
        <v>672</v>
      </c>
      <c r="BR30" s="1" t="s">
        <v>673</v>
      </c>
      <c r="BS30" s="1" t="s">
        <v>674</v>
      </c>
      <c r="BT30" s="1" t="s">
        <v>131</v>
      </c>
      <c r="BU30" s="1" t="s">
        <v>132</v>
      </c>
      <c r="BV30" s="1" t="s">
        <v>675</v>
      </c>
      <c r="BW30" s="1" t="s">
        <v>134</v>
      </c>
      <c r="BX30" s="1" t="s">
        <v>135</v>
      </c>
      <c r="BY30" s="1" t="s">
        <v>299</v>
      </c>
      <c r="BZ30" s="1" t="s">
        <v>676</v>
      </c>
      <c r="CA30" s="4">
        <v>1172</v>
      </c>
      <c r="CB30" s="1" t="s">
        <v>244</v>
      </c>
      <c r="CC30" s="1" t="s">
        <v>217</v>
      </c>
      <c r="CD30" s="1" t="s">
        <v>677</v>
      </c>
      <c r="CE30" s="1" t="s">
        <v>219</v>
      </c>
      <c r="CF30" s="6">
        <v>463881.5</v>
      </c>
      <c r="CG30" s="1">
        <v>611753.24</v>
      </c>
      <c r="CH30" s="1">
        <v>370</v>
      </c>
      <c r="CI30" s="1">
        <v>313</v>
      </c>
      <c r="CJ30" s="1">
        <v>370</v>
      </c>
      <c r="CK30" s="1">
        <v>0</v>
      </c>
      <c r="CL30" s="1">
        <v>35</v>
      </c>
      <c r="CM30" s="1">
        <v>25</v>
      </c>
      <c r="CN30" s="1">
        <v>35</v>
      </c>
      <c r="CO30" s="1">
        <v>10</v>
      </c>
      <c r="CP30" s="1">
        <v>8</v>
      </c>
      <c r="CQ30" s="1">
        <v>8</v>
      </c>
      <c r="CR30" s="1" t="s">
        <v>139</v>
      </c>
      <c r="CS30" s="1" t="s">
        <v>678</v>
      </c>
      <c r="CT30" s="1" t="s">
        <v>282</v>
      </c>
      <c r="CV30" s="1" t="s">
        <v>679</v>
      </c>
      <c r="CW30" s="1" t="s">
        <v>251</v>
      </c>
      <c r="CX30" s="1" t="s">
        <v>114</v>
      </c>
      <c r="CY30" s="1" t="s">
        <v>114</v>
      </c>
    </row>
    <row r="31" spans="1:105" s="3" customFormat="1" ht="11.25" customHeight="1" x14ac:dyDescent="0.2">
      <c r="A31" s="1">
        <v>41</v>
      </c>
      <c r="B31" s="1" t="s">
        <v>681</v>
      </c>
      <c r="C31" s="1" t="s">
        <v>680</v>
      </c>
      <c r="D31" s="1">
        <v>2866</v>
      </c>
      <c r="E31" s="2" t="s">
        <v>4201</v>
      </c>
      <c r="F31" s="1" t="s">
        <v>113</v>
      </c>
      <c r="G31" s="1" t="s">
        <v>190</v>
      </c>
      <c r="H31" s="1" t="s">
        <v>682</v>
      </c>
      <c r="I31" s="1" t="s">
        <v>229</v>
      </c>
      <c r="J31" s="1" t="s">
        <v>229</v>
      </c>
      <c r="K31" s="1" t="s">
        <v>682</v>
      </c>
      <c r="L31" s="1" t="s">
        <v>683</v>
      </c>
      <c r="M31" s="1" t="s">
        <v>683</v>
      </c>
      <c r="N31" s="1" t="s">
        <v>684</v>
      </c>
      <c r="O31" s="1" t="s">
        <v>106</v>
      </c>
      <c r="P31" s="1" t="s">
        <v>113</v>
      </c>
      <c r="Q31" s="1" t="s">
        <v>195</v>
      </c>
      <c r="R31" s="1" t="s">
        <v>685</v>
      </c>
      <c r="S31" s="1" t="s">
        <v>686</v>
      </c>
      <c r="T31" s="1" t="s">
        <v>106</v>
      </c>
      <c r="U31" s="1" t="s">
        <v>687</v>
      </c>
      <c r="V31" s="1" t="s">
        <v>688</v>
      </c>
      <c r="W31" s="1" t="s">
        <v>199</v>
      </c>
      <c r="X31" s="1" t="s">
        <v>113</v>
      </c>
      <c r="Y31" s="1" t="s">
        <v>114</v>
      </c>
      <c r="Z31" s="1">
        <v>100</v>
      </c>
      <c r="AA31" s="1" t="s">
        <v>116</v>
      </c>
      <c r="AB31" s="1" t="s">
        <v>128</v>
      </c>
      <c r="AC31" s="1" t="s">
        <v>118</v>
      </c>
      <c r="AD31" s="1">
        <v>30</v>
      </c>
      <c r="AE31" s="1" t="s">
        <v>116</v>
      </c>
      <c r="AF31" s="1">
        <v>600</v>
      </c>
      <c r="AG31" s="1" t="s">
        <v>113</v>
      </c>
      <c r="AH31" s="1">
        <v>50</v>
      </c>
      <c r="AI31" s="1">
        <v>30</v>
      </c>
      <c r="AJ31" s="1">
        <v>20</v>
      </c>
      <c r="AK31" s="1" t="s">
        <v>200</v>
      </c>
      <c r="AL31" s="1">
        <v>100</v>
      </c>
      <c r="AM31" s="1" t="s">
        <v>689</v>
      </c>
      <c r="AN31" s="1">
        <v>100</v>
      </c>
      <c r="AO31" s="1" t="s">
        <v>113</v>
      </c>
      <c r="AP31" s="1" t="s">
        <v>106</v>
      </c>
      <c r="AQ31" s="1" t="s">
        <v>517</v>
      </c>
      <c r="AR31" s="1" t="s">
        <v>690</v>
      </c>
      <c r="AS31" s="1" t="s">
        <v>691</v>
      </c>
      <c r="AT31" s="1" t="s">
        <v>123</v>
      </c>
      <c r="AU31" s="1" t="s">
        <v>113</v>
      </c>
      <c r="AV31" s="1" t="s">
        <v>113</v>
      </c>
      <c r="AW31" s="1" t="s">
        <v>124</v>
      </c>
      <c r="AX31" s="1" t="s">
        <v>165</v>
      </c>
      <c r="AY31" s="1">
        <v>10</v>
      </c>
      <c r="AZ31" s="1" t="s">
        <v>113</v>
      </c>
      <c r="BA31" s="1" t="s">
        <v>113</v>
      </c>
      <c r="BB31" s="1" t="s">
        <v>125</v>
      </c>
      <c r="BC31" s="1" t="s">
        <v>166</v>
      </c>
      <c r="BD31" s="1">
        <v>200</v>
      </c>
      <c r="BE31" s="1">
        <v>100</v>
      </c>
      <c r="BF31" s="1" t="s">
        <v>167</v>
      </c>
      <c r="BG31" s="1" t="s">
        <v>116</v>
      </c>
      <c r="BH31" s="1" t="s">
        <v>207</v>
      </c>
      <c r="BI31" s="1" t="s">
        <v>207</v>
      </c>
      <c r="BJ31" s="1" t="s">
        <v>208</v>
      </c>
      <c r="BK31" s="1">
        <v>20</v>
      </c>
      <c r="BL31" s="1" t="s">
        <v>167</v>
      </c>
      <c r="BM31" s="1" t="s">
        <v>210</v>
      </c>
      <c r="BN31" s="5" t="s">
        <v>692</v>
      </c>
      <c r="BO31" s="1" t="s">
        <v>143</v>
      </c>
      <c r="BP31" s="1" t="s">
        <v>124</v>
      </c>
      <c r="BQ31" s="1" t="s">
        <v>693</v>
      </c>
      <c r="BR31" s="1" t="s">
        <v>691</v>
      </c>
      <c r="BS31" s="1" t="s">
        <v>690</v>
      </c>
      <c r="BT31" s="1" t="s">
        <v>172</v>
      </c>
      <c r="BU31" s="1" t="s">
        <v>239</v>
      </c>
      <c r="BV31" s="1" t="s">
        <v>694</v>
      </c>
      <c r="BW31" s="1" t="s">
        <v>134</v>
      </c>
      <c r="BX31" s="1" t="s">
        <v>695</v>
      </c>
      <c r="BY31" s="1" t="s">
        <v>135</v>
      </c>
      <c r="BZ31" s="1" t="s">
        <v>517</v>
      </c>
      <c r="CA31" s="1">
        <v>600</v>
      </c>
      <c r="CB31" s="1" t="s">
        <v>244</v>
      </c>
      <c r="CC31" s="1" t="s">
        <v>177</v>
      </c>
      <c r="CD31" s="1" t="s">
        <v>696</v>
      </c>
      <c r="CE31" s="1" t="s">
        <v>179</v>
      </c>
      <c r="CF31" s="6">
        <v>38542.080000000002</v>
      </c>
      <c r="CG31" s="6">
        <v>90440</v>
      </c>
      <c r="CH31" s="6">
        <v>90440</v>
      </c>
      <c r="CI31" s="1">
        <v>0</v>
      </c>
      <c r="CJ31" s="5" t="s">
        <v>220</v>
      </c>
      <c r="CK31" s="5" t="s">
        <v>220</v>
      </c>
      <c r="CL31" s="5" t="s">
        <v>220</v>
      </c>
      <c r="CM31" s="5" t="s">
        <v>220</v>
      </c>
      <c r="CN31" s="5" t="s">
        <v>220</v>
      </c>
      <c r="CO31" s="5" t="s">
        <v>220</v>
      </c>
      <c r="CP31" s="5" t="s">
        <v>220</v>
      </c>
      <c r="CQ31" s="5" t="s">
        <v>220</v>
      </c>
      <c r="CR31" s="1" t="s">
        <v>139</v>
      </c>
      <c r="CS31" s="1" t="s">
        <v>308</v>
      </c>
      <c r="CT31" s="1" t="s">
        <v>697</v>
      </c>
      <c r="CV31" s="1" t="s">
        <v>698</v>
      </c>
      <c r="CW31" s="1" t="s">
        <v>284</v>
      </c>
      <c r="CX31" s="1" t="s">
        <v>699</v>
      </c>
      <c r="CY31" s="1" t="s">
        <v>143</v>
      </c>
    </row>
    <row r="32" spans="1:105" s="3" customFormat="1" ht="11.25" customHeight="1" x14ac:dyDescent="0.2">
      <c r="A32" s="1">
        <v>41</v>
      </c>
      <c r="B32" s="1" t="s">
        <v>701</v>
      </c>
      <c r="C32" s="1" t="s">
        <v>700</v>
      </c>
      <c r="D32" s="1">
        <v>9900</v>
      </c>
      <c r="E32" s="2" t="s">
        <v>4201</v>
      </c>
      <c r="F32" s="1" t="s">
        <v>106</v>
      </c>
      <c r="G32" s="1" t="s">
        <v>702</v>
      </c>
      <c r="H32" s="1" t="s">
        <v>703</v>
      </c>
      <c r="I32" s="1" t="s">
        <v>605</v>
      </c>
      <c r="J32" s="1" t="s">
        <v>106</v>
      </c>
      <c r="K32" s="1" t="s">
        <v>704</v>
      </c>
      <c r="L32" s="1" t="s">
        <v>111</v>
      </c>
      <c r="M32" s="1" t="s">
        <v>705</v>
      </c>
      <c r="N32" s="1" t="s">
        <v>112</v>
      </c>
      <c r="O32" s="1" t="s">
        <v>113</v>
      </c>
      <c r="P32" s="1" t="s">
        <v>113</v>
      </c>
      <c r="Q32" s="1" t="s">
        <v>111</v>
      </c>
      <c r="R32" s="1" t="s">
        <v>706</v>
      </c>
      <c r="S32" s="1" t="s">
        <v>707</v>
      </c>
      <c r="T32" s="1" t="s">
        <v>113</v>
      </c>
      <c r="U32" s="1" t="s">
        <v>708</v>
      </c>
      <c r="V32" s="1" t="s">
        <v>114</v>
      </c>
      <c r="W32" s="1" t="s">
        <v>115</v>
      </c>
      <c r="X32" s="1" t="s">
        <v>113</v>
      </c>
      <c r="Y32" s="1" t="s">
        <v>114</v>
      </c>
      <c r="Z32" s="1">
        <v>100</v>
      </c>
      <c r="AA32" s="1" t="s">
        <v>159</v>
      </c>
      <c r="AB32" s="1" t="s">
        <v>128</v>
      </c>
      <c r="AC32" s="1" t="s">
        <v>128</v>
      </c>
      <c r="AD32" s="1">
        <v>0</v>
      </c>
      <c r="AE32" s="1" t="s">
        <v>709</v>
      </c>
      <c r="AF32" s="1">
        <v>1608</v>
      </c>
      <c r="AG32" s="1" t="s">
        <v>106</v>
      </c>
      <c r="AH32" s="1">
        <v>0</v>
      </c>
      <c r="AI32" s="1">
        <v>0</v>
      </c>
      <c r="AJ32" s="1">
        <v>0</v>
      </c>
      <c r="AK32" s="1" t="s">
        <v>648</v>
      </c>
      <c r="AL32" s="1">
        <v>0</v>
      </c>
      <c r="AM32" s="1" t="s">
        <v>127</v>
      </c>
      <c r="AN32" s="1">
        <v>0</v>
      </c>
      <c r="AO32" s="1" t="s">
        <v>113</v>
      </c>
      <c r="AP32" s="1" t="s">
        <v>113</v>
      </c>
      <c r="AQ32" s="1" t="s">
        <v>127</v>
      </c>
      <c r="AR32" s="1" t="s">
        <v>127</v>
      </c>
      <c r="AS32" s="1" t="s">
        <v>127</v>
      </c>
      <c r="AT32" s="1" t="s">
        <v>123</v>
      </c>
      <c r="AU32" s="1" t="s">
        <v>106</v>
      </c>
      <c r="AV32" s="1" t="s">
        <v>113</v>
      </c>
      <c r="AW32" s="1" t="s">
        <v>164</v>
      </c>
      <c r="AX32" s="1" t="s">
        <v>165</v>
      </c>
      <c r="AY32" s="1">
        <v>0</v>
      </c>
      <c r="AZ32" s="1" t="s">
        <v>113</v>
      </c>
      <c r="BA32" s="1" t="s">
        <v>113</v>
      </c>
      <c r="BB32" s="1" t="s">
        <v>125</v>
      </c>
      <c r="BC32" s="1" t="s">
        <v>166</v>
      </c>
      <c r="BD32" s="1">
        <v>0</v>
      </c>
      <c r="BE32" s="1">
        <v>80</v>
      </c>
      <c r="BF32" s="1" t="s">
        <v>167</v>
      </c>
      <c r="BG32" s="1" t="s">
        <v>132</v>
      </c>
      <c r="BH32" s="1" t="s">
        <v>710</v>
      </c>
      <c r="BI32" s="1" t="s">
        <v>710</v>
      </c>
      <c r="BJ32" s="1" t="s">
        <v>208</v>
      </c>
      <c r="BK32" s="1">
        <v>20</v>
      </c>
      <c r="BL32" s="1" t="s">
        <v>270</v>
      </c>
      <c r="BM32" s="1" t="s">
        <v>271</v>
      </c>
      <c r="BN32" s="1">
        <v>10</v>
      </c>
      <c r="BO32" s="1">
        <v>0</v>
      </c>
      <c r="BP32" s="1" t="s">
        <v>115</v>
      </c>
      <c r="BQ32" s="1" t="s">
        <v>704</v>
      </c>
      <c r="BR32" s="1" t="s">
        <v>711</v>
      </c>
      <c r="BS32" s="1" t="s">
        <v>712</v>
      </c>
      <c r="BT32" s="1" t="s">
        <v>172</v>
      </c>
      <c r="BU32" s="1" t="s">
        <v>132</v>
      </c>
      <c r="BV32" s="1" t="s">
        <v>713</v>
      </c>
      <c r="BW32" s="1" t="s">
        <v>134</v>
      </c>
      <c r="BX32" s="1" t="s">
        <v>114</v>
      </c>
      <c r="BY32" s="1" t="s">
        <v>135</v>
      </c>
      <c r="BZ32" s="1" t="s">
        <v>714</v>
      </c>
      <c r="CA32" s="1">
        <v>16080</v>
      </c>
      <c r="CB32" s="1" t="s">
        <v>244</v>
      </c>
      <c r="CC32" s="1" t="s">
        <v>217</v>
      </c>
      <c r="CD32" s="1" t="s">
        <v>715</v>
      </c>
      <c r="CE32" s="1" t="s">
        <v>219</v>
      </c>
      <c r="CF32" s="1">
        <v>650000</v>
      </c>
      <c r="CG32" s="1">
        <v>820000</v>
      </c>
      <c r="CH32" s="1">
        <v>0</v>
      </c>
      <c r="CI32" s="1">
        <v>0</v>
      </c>
      <c r="CJ32" s="1">
        <v>0</v>
      </c>
      <c r="CK32" s="1">
        <v>150</v>
      </c>
      <c r="CL32" s="1">
        <v>0</v>
      </c>
      <c r="CM32" s="1">
        <v>0</v>
      </c>
      <c r="CN32" s="1">
        <v>0</v>
      </c>
      <c r="CO32" s="1">
        <v>0</v>
      </c>
      <c r="CP32" s="1">
        <v>0</v>
      </c>
      <c r="CQ32" s="1">
        <v>0</v>
      </c>
      <c r="CR32" s="1" t="s">
        <v>139</v>
      </c>
      <c r="CS32" s="1" t="s">
        <v>308</v>
      </c>
      <c r="CT32" s="1" t="s">
        <v>114</v>
      </c>
      <c r="CV32" s="1" t="s">
        <v>114</v>
      </c>
      <c r="CW32" s="1" t="s">
        <v>251</v>
      </c>
      <c r="CX32" s="1" t="s">
        <v>114</v>
      </c>
      <c r="CY32" s="1" t="s">
        <v>114</v>
      </c>
      <c r="CZ32" s="1" t="s">
        <v>144</v>
      </c>
      <c r="DA32" s="1" t="s">
        <v>145</v>
      </c>
    </row>
    <row r="33" spans="1:105" s="3" customFormat="1" ht="11.25" customHeight="1" x14ac:dyDescent="0.2">
      <c r="A33" s="1">
        <v>41</v>
      </c>
      <c r="B33" s="1" t="s">
        <v>717</v>
      </c>
      <c r="C33" s="1" t="s">
        <v>716</v>
      </c>
      <c r="D33" s="1">
        <v>4100</v>
      </c>
      <c r="E33" s="2" t="s">
        <v>4201</v>
      </c>
      <c r="F33" s="1" t="s">
        <v>113</v>
      </c>
      <c r="H33" s="1" t="s">
        <v>718</v>
      </c>
      <c r="I33" s="1" t="s">
        <v>193</v>
      </c>
      <c r="J33" s="1" t="s">
        <v>229</v>
      </c>
      <c r="L33" s="1" t="s">
        <v>111</v>
      </c>
      <c r="M33" s="1" t="s">
        <v>719</v>
      </c>
      <c r="N33" s="1" t="s">
        <v>151</v>
      </c>
      <c r="O33" s="1" t="s">
        <v>113</v>
      </c>
      <c r="P33" s="1" t="s">
        <v>113</v>
      </c>
      <c r="Q33" s="1" t="s">
        <v>195</v>
      </c>
      <c r="R33" s="1" t="s">
        <v>720</v>
      </c>
      <c r="S33" s="1" t="s">
        <v>721</v>
      </c>
      <c r="T33" s="1" t="s">
        <v>113</v>
      </c>
      <c r="U33" s="1" t="s">
        <v>709</v>
      </c>
      <c r="W33" s="1" t="s">
        <v>115</v>
      </c>
      <c r="X33" s="1" t="s">
        <v>113</v>
      </c>
      <c r="Z33" s="1">
        <v>100</v>
      </c>
      <c r="AA33" s="1" t="s">
        <v>132</v>
      </c>
      <c r="AB33" s="1" t="s">
        <v>128</v>
      </c>
      <c r="AC33" s="1" t="s">
        <v>128</v>
      </c>
      <c r="AD33" s="1">
        <v>0</v>
      </c>
      <c r="AE33" s="1" t="s">
        <v>722</v>
      </c>
      <c r="AF33" s="1">
        <v>230</v>
      </c>
      <c r="AG33" s="1" t="s">
        <v>113</v>
      </c>
      <c r="AH33" s="1">
        <v>0</v>
      </c>
      <c r="AI33" s="1">
        <v>0</v>
      </c>
      <c r="AJ33" s="1">
        <v>0</v>
      </c>
      <c r="AK33" s="1" t="s">
        <v>232</v>
      </c>
      <c r="AL33" s="1">
        <v>0</v>
      </c>
      <c r="AM33" s="1" t="s">
        <v>723</v>
      </c>
      <c r="AN33" s="1">
        <v>0</v>
      </c>
      <c r="AO33" s="1" t="s">
        <v>113</v>
      </c>
      <c r="AP33" s="1" t="s">
        <v>113</v>
      </c>
      <c r="AQ33" s="1" t="s">
        <v>157</v>
      </c>
      <c r="AR33" s="1" t="s">
        <v>724</v>
      </c>
      <c r="AS33" s="1" t="s">
        <v>709</v>
      </c>
      <c r="AT33" s="1" t="s">
        <v>123</v>
      </c>
      <c r="AU33" s="1" t="s">
        <v>113</v>
      </c>
      <c r="AV33" s="1" t="s">
        <v>113</v>
      </c>
      <c r="AW33" s="1" t="s">
        <v>234</v>
      </c>
      <c r="AX33" s="1" t="s">
        <v>206</v>
      </c>
      <c r="AY33" s="1">
        <v>0</v>
      </c>
      <c r="AZ33" s="1" t="s">
        <v>113</v>
      </c>
      <c r="BA33" s="1" t="s">
        <v>113</v>
      </c>
      <c r="BB33" s="1" t="s">
        <v>125</v>
      </c>
      <c r="BC33" s="1" t="s">
        <v>206</v>
      </c>
      <c r="BD33" s="1">
        <v>0</v>
      </c>
      <c r="BE33" s="1">
        <v>0</v>
      </c>
      <c r="BF33" s="1" t="s">
        <v>127</v>
      </c>
      <c r="BG33" s="1" t="s">
        <v>127</v>
      </c>
      <c r="BH33" s="1" t="s">
        <v>168</v>
      </c>
      <c r="BI33" s="1" t="s">
        <v>168</v>
      </c>
      <c r="BJ33" s="1" t="s">
        <v>128</v>
      </c>
      <c r="BK33" s="1">
        <v>0</v>
      </c>
      <c r="BL33" s="1" t="s">
        <v>127</v>
      </c>
      <c r="BM33" s="1" t="s">
        <v>114</v>
      </c>
      <c r="BN33" s="1" t="s">
        <v>143</v>
      </c>
      <c r="BO33" s="1">
        <v>0</v>
      </c>
      <c r="BP33" s="1" t="s">
        <v>115</v>
      </c>
      <c r="BQ33" s="1" t="s">
        <v>725</v>
      </c>
      <c r="BR33" s="1" t="s">
        <v>709</v>
      </c>
      <c r="BS33" s="1" t="s">
        <v>725</v>
      </c>
      <c r="BT33" s="1" t="s">
        <v>131</v>
      </c>
      <c r="BU33" s="1" t="s">
        <v>132</v>
      </c>
      <c r="BV33" s="1" t="s">
        <v>726</v>
      </c>
      <c r="BW33" s="1" t="s">
        <v>134</v>
      </c>
      <c r="BX33" s="1" t="s">
        <v>633</v>
      </c>
      <c r="BY33" s="1" t="s">
        <v>454</v>
      </c>
      <c r="BZ33" s="1" t="s">
        <v>709</v>
      </c>
      <c r="CA33" s="1">
        <v>0</v>
      </c>
      <c r="CB33" s="1" t="s">
        <v>244</v>
      </c>
      <c r="CC33" s="1" t="s">
        <v>217</v>
      </c>
      <c r="CD33" s="1" t="s">
        <v>727</v>
      </c>
      <c r="CE33" s="1" t="s">
        <v>219</v>
      </c>
      <c r="CF33" s="1">
        <v>13466.27</v>
      </c>
      <c r="CG33" s="1">
        <v>55224</v>
      </c>
      <c r="CH33" s="1">
        <v>0</v>
      </c>
      <c r="CI33" s="1">
        <v>0</v>
      </c>
      <c r="CJ33" s="1">
        <v>0</v>
      </c>
      <c r="CK33" s="1">
        <v>0</v>
      </c>
      <c r="CL33" s="1">
        <v>0</v>
      </c>
      <c r="CM33" s="1">
        <v>0</v>
      </c>
      <c r="CN33" s="1">
        <v>41600</v>
      </c>
      <c r="CO33" s="1">
        <v>0</v>
      </c>
      <c r="CP33" s="1">
        <v>0</v>
      </c>
      <c r="CQ33" s="1">
        <v>0</v>
      </c>
      <c r="CR33" s="1" t="s">
        <v>139</v>
      </c>
      <c r="CS33" s="1" t="s">
        <v>327</v>
      </c>
      <c r="CT33" s="1" t="s">
        <v>728</v>
      </c>
      <c r="CV33" s="1" t="s">
        <v>729</v>
      </c>
      <c r="CW33" s="1" t="s">
        <v>251</v>
      </c>
      <c r="CX33" s="1" t="s">
        <v>730</v>
      </c>
      <c r="CY33" s="1" t="s">
        <v>143</v>
      </c>
      <c r="CZ33" s="1" t="s">
        <v>144</v>
      </c>
      <c r="DA33" s="1" t="s">
        <v>145</v>
      </c>
    </row>
    <row r="34" spans="1:105" s="3" customFormat="1" ht="11.25" customHeight="1" x14ac:dyDescent="0.2">
      <c r="A34" s="1">
        <v>41</v>
      </c>
      <c r="B34" s="1" t="s">
        <v>731</v>
      </c>
      <c r="C34" s="1" t="s">
        <v>732</v>
      </c>
      <c r="D34" s="1">
        <v>3170</v>
      </c>
      <c r="E34" s="2" t="s">
        <v>1688</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V34" s="1"/>
      <c r="CW34" s="1"/>
      <c r="CX34" s="1"/>
      <c r="CY34" s="1"/>
      <c r="CZ34" s="1"/>
      <c r="DA34" s="1"/>
    </row>
    <row r="35" spans="1:105" s="3" customFormat="1" ht="11.25" customHeight="1" x14ac:dyDescent="0.2">
      <c r="A35" s="1">
        <v>41</v>
      </c>
      <c r="B35" s="1" t="s">
        <v>734</v>
      </c>
      <c r="C35" s="1" t="s">
        <v>733</v>
      </c>
      <c r="D35" s="1">
        <v>14998</v>
      </c>
      <c r="E35" s="2" t="s">
        <v>4201</v>
      </c>
      <c r="F35" s="1" t="s">
        <v>113</v>
      </c>
      <c r="G35" s="1"/>
      <c r="H35" s="1" t="s">
        <v>735</v>
      </c>
      <c r="I35" s="1" t="s">
        <v>193</v>
      </c>
      <c r="J35" s="1" t="s">
        <v>229</v>
      </c>
      <c r="K35" s="1"/>
      <c r="L35" s="1" t="s">
        <v>111</v>
      </c>
      <c r="M35" s="1" t="s">
        <v>736</v>
      </c>
      <c r="N35" s="1" t="s">
        <v>737</v>
      </c>
      <c r="O35" s="1" t="s">
        <v>106</v>
      </c>
      <c r="P35" s="1" t="s">
        <v>113</v>
      </c>
      <c r="Q35" s="1" t="s">
        <v>195</v>
      </c>
      <c r="R35" s="1" t="s">
        <v>738</v>
      </c>
      <c r="S35" s="1" t="s">
        <v>127</v>
      </c>
      <c r="T35" s="1" t="s">
        <v>113</v>
      </c>
      <c r="U35" s="1" t="s">
        <v>127</v>
      </c>
      <c r="V35" s="1"/>
      <c r="W35" s="1" t="s">
        <v>115</v>
      </c>
      <c r="X35" s="1" t="s">
        <v>113</v>
      </c>
      <c r="Y35" s="1"/>
      <c r="Z35" s="1">
        <v>98</v>
      </c>
      <c r="AA35" s="1" t="s">
        <v>116</v>
      </c>
      <c r="AB35" s="1" t="s">
        <v>128</v>
      </c>
      <c r="AC35" s="1" t="s">
        <v>118</v>
      </c>
      <c r="AD35" s="1">
        <v>40</v>
      </c>
      <c r="AE35" s="1" t="s">
        <v>116</v>
      </c>
      <c r="AF35" s="1">
        <v>3695</v>
      </c>
      <c r="AG35" s="1" t="s">
        <v>113</v>
      </c>
      <c r="AH35" s="1">
        <v>0</v>
      </c>
      <c r="AI35" s="1">
        <v>0</v>
      </c>
      <c r="AJ35" s="1">
        <v>0</v>
      </c>
      <c r="AK35" s="1" t="s">
        <v>232</v>
      </c>
      <c r="AL35" s="1">
        <v>0</v>
      </c>
      <c r="AM35" s="1" t="s">
        <v>131</v>
      </c>
      <c r="AN35" s="1">
        <v>0</v>
      </c>
      <c r="AO35" s="1" t="s">
        <v>113</v>
      </c>
      <c r="AP35" s="1" t="s">
        <v>106</v>
      </c>
      <c r="AQ35" s="1" t="s">
        <v>739</v>
      </c>
      <c r="AR35" s="1" t="s">
        <v>740</v>
      </c>
      <c r="AS35" s="1" t="s">
        <v>741</v>
      </c>
      <c r="AT35" s="1" t="s">
        <v>123</v>
      </c>
      <c r="AU35" s="1" t="s">
        <v>113</v>
      </c>
      <c r="AV35" s="1" t="s">
        <v>113</v>
      </c>
      <c r="AW35" s="1" t="s">
        <v>164</v>
      </c>
      <c r="AX35" s="1" t="s">
        <v>165</v>
      </c>
      <c r="AY35" s="1">
        <v>0</v>
      </c>
      <c r="AZ35" s="1" t="s">
        <v>113</v>
      </c>
      <c r="BA35" s="1" t="s">
        <v>113</v>
      </c>
      <c r="BB35" s="1" t="s">
        <v>125</v>
      </c>
      <c r="BC35" s="1" t="s">
        <v>166</v>
      </c>
      <c r="BD35" s="1">
        <v>0</v>
      </c>
      <c r="BE35" s="1">
        <v>100</v>
      </c>
      <c r="BF35" s="1" t="s">
        <v>167</v>
      </c>
      <c r="BG35" s="1" t="s">
        <v>268</v>
      </c>
      <c r="BH35" s="1" t="s">
        <v>207</v>
      </c>
      <c r="BI35" s="1" t="s">
        <v>207</v>
      </c>
      <c r="BJ35" s="1" t="s">
        <v>208</v>
      </c>
      <c r="BK35" s="1">
        <v>50</v>
      </c>
      <c r="BL35" s="1" t="s">
        <v>167</v>
      </c>
      <c r="BM35" s="1" t="s">
        <v>271</v>
      </c>
      <c r="BN35" s="1" t="s">
        <v>143</v>
      </c>
      <c r="BO35" s="1">
        <v>15</v>
      </c>
      <c r="BP35" s="1" t="s">
        <v>115</v>
      </c>
      <c r="BQ35" s="1" t="s">
        <v>742</v>
      </c>
      <c r="BR35" s="1" t="s">
        <v>743</v>
      </c>
      <c r="BS35" s="1" t="s">
        <v>744</v>
      </c>
      <c r="BT35" s="1" t="s">
        <v>172</v>
      </c>
      <c r="BU35" s="1" t="s">
        <v>132</v>
      </c>
      <c r="BV35" s="1" t="s">
        <v>174</v>
      </c>
      <c r="BW35" s="1" t="s">
        <v>134</v>
      </c>
      <c r="BX35" s="1" t="s">
        <v>325</v>
      </c>
      <c r="BY35" s="1" t="s">
        <v>135</v>
      </c>
      <c r="BZ35" s="1" t="s">
        <v>745</v>
      </c>
      <c r="CA35" s="1">
        <v>3695</v>
      </c>
      <c r="CB35" s="1" t="s">
        <v>176</v>
      </c>
      <c r="CC35" s="1" t="s">
        <v>177</v>
      </c>
      <c r="CD35" s="1"/>
      <c r="CE35" s="1" t="s">
        <v>179</v>
      </c>
      <c r="CF35" s="1">
        <v>0</v>
      </c>
      <c r="CG35" s="1">
        <v>0</v>
      </c>
      <c r="CH35" s="1">
        <v>0</v>
      </c>
      <c r="CI35" s="1">
        <v>0</v>
      </c>
      <c r="CJ35" s="1">
        <v>0</v>
      </c>
      <c r="CK35" s="1">
        <v>0</v>
      </c>
      <c r="CL35" s="1">
        <v>0</v>
      </c>
      <c r="CM35" s="1">
        <v>0</v>
      </c>
      <c r="CN35" s="1">
        <v>0</v>
      </c>
      <c r="CO35" s="1">
        <v>0</v>
      </c>
      <c r="CP35" s="1">
        <v>0</v>
      </c>
      <c r="CQ35" s="1">
        <v>0</v>
      </c>
      <c r="CR35" s="1" t="s">
        <v>139</v>
      </c>
      <c r="CS35" s="1" t="s">
        <v>140</v>
      </c>
      <c r="CT35" s="1" t="s">
        <v>746</v>
      </c>
      <c r="CU35" s="1"/>
      <c r="CV35" s="1" t="s">
        <v>747</v>
      </c>
      <c r="CW35" s="1" t="s">
        <v>141</v>
      </c>
      <c r="CX35" s="1" t="s">
        <v>748</v>
      </c>
      <c r="CY35" s="1" t="s">
        <v>143</v>
      </c>
      <c r="CZ35" s="1" t="s">
        <v>144</v>
      </c>
      <c r="DA35" s="1" t="s">
        <v>145</v>
      </c>
    </row>
    <row r="36" spans="1:105" s="3" customFormat="1" ht="11.25" customHeight="1" x14ac:dyDescent="0.2">
      <c r="A36" s="1">
        <v>41</v>
      </c>
      <c r="B36" s="1" t="s">
        <v>750</v>
      </c>
      <c r="C36" s="1" t="s">
        <v>749</v>
      </c>
      <c r="D36" s="1">
        <v>15689</v>
      </c>
      <c r="E36" s="2" t="s">
        <v>4201</v>
      </c>
      <c r="F36" s="1" t="s">
        <v>113</v>
      </c>
      <c r="H36" s="1" t="s">
        <v>113</v>
      </c>
      <c r="I36" s="1" t="s">
        <v>113</v>
      </c>
      <c r="J36" s="1" t="s">
        <v>229</v>
      </c>
      <c r="L36" s="1" t="s">
        <v>149</v>
      </c>
      <c r="M36" s="1" t="s">
        <v>751</v>
      </c>
      <c r="N36" s="1" t="s">
        <v>112</v>
      </c>
      <c r="O36" s="1" t="s">
        <v>113</v>
      </c>
      <c r="P36" s="1" t="s">
        <v>113</v>
      </c>
      <c r="Q36" s="1" t="s">
        <v>195</v>
      </c>
      <c r="R36" s="1" t="s">
        <v>752</v>
      </c>
      <c r="S36" s="1" t="s">
        <v>753</v>
      </c>
      <c r="T36" s="1" t="s">
        <v>106</v>
      </c>
      <c r="U36" s="1" t="s">
        <v>752</v>
      </c>
      <c r="V36" s="1" t="s">
        <v>754</v>
      </c>
      <c r="W36" s="1" t="s">
        <v>755</v>
      </c>
      <c r="X36" s="1" t="s">
        <v>113</v>
      </c>
      <c r="Z36" s="1">
        <v>100</v>
      </c>
      <c r="AA36" s="1" t="s">
        <v>116</v>
      </c>
      <c r="AB36" s="1" t="s">
        <v>158</v>
      </c>
      <c r="AC36" s="1" t="s">
        <v>118</v>
      </c>
      <c r="AD36" s="1">
        <v>25</v>
      </c>
      <c r="AE36" s="1" t="s">
        <v>116</v>
      </c>
      <c r="AF36" s="1">
        <v>1200</v>
      </c>
      <c r="AG36" s="1" t="s">
        <v>113</v>
      </c>
      <c r="AH36" s="1">
        <v>25</v>
      </c>
      <c r="AI36" s="1" t="s">
        <v>756</v>
      </c>
      <c r="AJ36" s="1" t="s">
        <v>757</v>
      </c>
      <c r="AK36" s="1" t="s">
        <v>758</v>
      </c>
      <c r="AL36" s="1">
        <v>2000</v>
      </c>
      <c r="AM36" s="1" t="s">
        <v>120</v>
      </c>
      <c r="AN36" s="1">
        <v>2000</v>
      </c>
      <c r="AO36" s="1" t="s">
        <v>113</v>
      </c>
      <c r="AP36" s="1" t="s">
        <v>113</v>
      </c>
      <c r="AQ36" s="1" t="s">
        <v>113</v>
      </c>
      <c r="AR36" s="1" t="s">
        <v>113</v>
      </c>
      <c r="AS36" s="1" t="s">
        <v>113</v>
      </c>
      <c r="AT36" s="1" t="s">
        <v>759</v>
      </c>
      <c r="AU36" s="1" t="s">
        <v>106</v>
      </c>
      <c r="AV36" s="1" t="s">
        <v>113</v>
      </c>
      <c r="AW36" s="1" t="s">
        <v>205</v>
      </c>
      <c r="AX36" s="1" t="s">
        <v>760</v>
      </c>
      <c r="AY36" s="1">
        <v>800</v>
      </c>
      <c r="AZ36" s="1" t="s">
        <v>106</v>
      </c>
      <c r="BA36" s="1" t="s">
        <v>113</v>
      </c>
      <c r="BB36" s="1" t="s">
        <v>761</v>
      </c>
      <c r="BC36" s="1" t="s">
        <v>762</v>
      </c>
      <c r="BD36" s="1">
        <v>200</v>
      </c>
      <c r="BE36" s="1">
        <v>100</v>
      </c>
      <c r="BF36" s="1" t="s">
        <v>167</v>
      </c>
      <c r="BG36" s="1" t="s">
        <v>116</v>
      </c>
      <c r="BI36" s="1" t="s">
        <v>169</v>
      </c>
      <c r="BJ36" s="1" t="s">
        <v>384</v>
      </c>
      <c r="BK36" s="1">
        <v>20</v>
      </c>
      <c r="BL36" s="1" t="s">
        <v>533</v>
      </c>
      <c r="BM36" s="1" t="s">
        <v>210</v>
      </c>
      <c r="BN36" s="1">
        <v>100</v>
      </c>
      <c r="BO36" s="1">
        <v>0</v>
      </c>
      <c r="BP36" s="1" t="s">
        <v>124</v>
      </c>
      <c r="BQ36" s="1">
        <v>0</v>
      </c>
      <c r="BR36" s="1" t="s">
        <v>763</v>
      </c>
      <c r="BS36" s="1" t="s">
        <v>764</v>
      </c>
      <c r="BT36" s="1" t="s">
        <v>172</v>
      </c>
      <c r="BU36" s="1" t="s">
        <v>239</v>
      </c>
      <c r="BV36" s="1" t="s">
        <v>765</v>
      </c>
      <c r="BW36" s="1" t="s">
        <v>766</v>
      </c>
      <c r="BX36" s="1" t="s">
        <v>767</v>
      </c>
      <c r="BY36" s="1" t="s">
        <v>299</v>
      </c>
      <c r="BZ36" s="1" t="s">
        <v>768</v>
      </c>
      <c r="CA36" s="1">
        <v>1200</v>
      </c>
      <c r="CB36" s="1" t="s">
        <v>176</v>
      </c>
      <c r="CC36" s="1" t="s">
        <v>496</v>
      </c>
      <c r="CD36" s="5" t="s">
        <v>769</v>
      </c>
      <c r="CE36" s="1" t="s">
        <v>478</v>
      </c>
      <c r="CF36" s="6">
        <v>570843.94999999995</v>
      </c>
      <c r="CG36" s="1">
        <v>0</v>
      </c>
      <c r="CH36" s="1">
        <v>0</v>
      </c>
      <c r="CI36" s="1">
        <v>0</v>
      </c>
      <c r="CJ36" s="1">
        <v>0</v>
      </c>
      <c r="CK36" s="1">
        <v>0</v>
      </c>
      <c r="CL36" s="1">
        <v>0</v>
      </c>
      <c r="CM36" s="1">
        <v>0</v>
      </c>
      <c r="CN36" s="1">
        <v>60</v>
      </c>
      <c r="CO36" s="1">
        <v>60</v>
      </c>
      <c r="CP36" s="1">
        <v>0</v>
      </c>
      <c r="CQ36" s="1">
        <v>77</v>
      </c>
      <c r="CR36" s="1" t="s">
        <v>139</v>
      </c>
      <c r="CS36" s="1" t="s">
        <v>140</v>
      </c>
      <c r="CT36" s="1" t="s">
        <v>770</v>
      </c>
      <c r="CV36" s="1" t="s">
        <v>771</v>
      </c>
      <c r="CW36" s="1" t="s">
        <v>251</v>
      </c>
      <c r="CX36" s="1" t="s">
        <v>114</v>
      </c>
      <c r="CY36" s="1" t="s">
        <v>143</v>
      </c>
      <c r="CZ36" s="1" t="s">
        <v>144</v>
      </c>
      <c r="DA36" s="1" t="s">
        <v>145</v>
      </c>
    </row>
    <row r="37" spans="1:105" s="3" customFormat="1" ht="11.25" customHeight="1" x14ac:dyDescent="0.2">
      <c r="A37" s="1">
        <v>41</v>
      </c>
      <c r="B37" s="1" t="s">
        <v>773</v>
      </c>
      <c r="C37" s="1" t="s">
        <v>772</v>
      </c>
      <c r="D37" s="1">
        <v>2448</v>
      </c>
      <c r="E37" s="2" t="s">
        <v>4201</v>
      </c>
      <c r="F37" s="1" t="s">
        <v>106</v>
      </c>
      <c r="G37" s="1" t="s">
        <v>190</v>
      </c>
      <c r="H37" s="1" t="s">
        <v>774</v>
      </c>
      <c r="I37" s="1" t="s">
        <v>775</v>
      </c>
      <c r="J37" s="1" t="s">
        <v>106</v>
      </c>
      <c r="K37" s="1" t="s">
        <v>776</v>
      </c>
      <c r="L37" s="1" t="s">
        <v>111</v>
      </c>
      <c r="M37" s="1" t="s">
        <v>191</v>
      </c>
      <c r="N37" s="1" t="s">
        <v>112</v>
      </c>
      <c r="O37" s="1" t="s">
        <v>113</v>
      </c>
      <c r="P37" s="1" t="s">
        <v>113</v>
      </c>
      <c r="Q37" s="1" t="s">
        <v>195</v>
      </c>
      <c r="R37" s="1" t="s">
        <v>777</v>
      </c>
      <c r="S37" s="1" t="s">
        <v>157</v>
      </c>
      <c r="T37" s="1" t="s">
        <v>106</v>
      </c>
      <c r="U37" s="1" t="s">
        <v>777</v>
      </c>
      <c r="V37" s="1" t="s">
        <v>447</v>
      </c>
      <c r="W37" s="1" t="s">
        <v>115</v>
      </c>
      <c r="X37" s="1" t="s">
        <v>113</v>
      </c>
      <c r="Y37" s="1" t="s">
        <v>373</v>
      </c>
      <c r="Z37" s="1">
        <v>100</v>
      </c>
      <c r="AA37" s="1" t="s">
        <v>159</v>
      </c>
      <c r="AB37" s="1" t="s">
        <v>128</v>
      </c>
      <c r="AC37" s="1" t="s">
        <v>118</v>
      </c>
      <c r="AD37" s="1">
        <v>50</v>
      </c>
      <c r="AE37" s="1" t="s">
        <v>159</v>
      </c>
      <c r="AF37" s="1">
        <v>180</v>
      </c>
      <c r="AG37" s="1" t="s">
        <v>113</v>
      </c>
      <c r="AH37" s="1">
        <v>0</v>
      </c>
      <c r="AI37" s="1">
        <v>0</v>
      </c>
      <c r="AJ37" s="1">
        <v>0</v>
      </c>
      <c r="AK37" s="1" t="s">
        <v>232</v>
      </c>
      <c r="AM37" s="1" t="s">
        <v>778</v>
      </c>
      <c r="AO37" s="1" t="s">
        <v>113</v>
      </c>
      <c r="AP37" s="1" t="s">
        <v>113</v>
      </c>
      <c r="AQ37" s="1" t="s">
        <v>709</v>
      </c>
      <c r="AR37" s="1" t="s">
        <v>709</v>
      </c>
      <c r="AS37" s="1" t="s">
        <v>724</v>
      </c>
      <c r="AT37" s="1" t="s">
        <v>123</v>
      </c>
      <c r="AU37" s="1" t="s">
        <v>113</v>
      </c>
      <c r="AV37" s="1" t="s">
        <v>113</v>
      </c>
      <c r="AW37" s="1" t="s">
        <v>234</v>
      </c>
      <c r="AX37" s="1" t="s">
        <v>550</v>
      </c>
      <c r="AY37" s="1">
        <v>0</v>
      </c>
      <c r="AZ37" s="1" t="s">
        <v>113</v>
      </c>
      <c r="BA37" s="1" t="s">
        <v>113</v>
      </c>
      <c r="BB37" s="1" t="s">
        <v>125</v>
      </c>
      <c r="BC37" s="1" t="s">
        <v>166</v>
      </c>
      <c r="BD37" s="1">
        <v>0</v>
      </c>
      <c r="BE37" s="1">
        <v>100</v>
      </c>
      <c r="BF37" s="1" t="s">
        <v>779</v>
      </c>
      <c r="BG37" s="1" t="s">
        <v>780</v>
      </c>
      <c r="BH37" s="1" t="s">
        <v>168</v>
      </c>
      <c r="BI37" s="1" t="s">
        <v>168</v>
      </c>
      <c r="BJ37" s="1" t="s">
        <v>208</v>
      </c>
      <c r="BK37" s="1">
        <v>0</v>
      </c>
      <c r="BL37" s="1" t="s">
        <v>270</v>
      </c>
      <c r="BM37" s="1" t="s">
        <v>781</v>
      </c>
      <c r="BN37" s="1" t="s">
        <v>143</v>
      </c>
      <c r="BP37" s="1" t="s">
        <v>115</v>
      </c>
      <c r="BQ37" s="1" t="s">
        <v>782</v>
      </c>
      <c r="BR37" s="1" t="s">
        <v>783</v>
      </c>
      <c r="BS37" s="1" t="s">
        <v>784</v>
      </c>
      <c r="BT37" s="1" t="s">
        <v>172</v>
      </c>
      <c r="BU37" s="1" t="s">
        <v>132</v>
      </c>
      <c r="BV37" s="1" t="s">
        <v>785</v>
      </c>
      <c r="BW37" s="1" t="s">
        <v>134</v>
      </c>
      <c r="BX37" s="1" t="s">
        <v>786</v>
      </c>
      <c r="BY37" s="1" t="s">
        <v>454</v>
      </c>
      <c r="BZ37" s="1" t="s">
        <v>787</v>
      </c>
      <c r="CA37" s="1">
        <v>180</v>
      </c>
      <c r="CB37" s="1" t="s">
        <v>244</v>
      </c>
      <c r="CC37" s="1" t="s">
        <v>301</v>
      </c>
      <c r="CE37" s="1" t="s">
        <v>478</v>
      </c>
      <c r="CF37" s="1">
        <v>80000</v>
      </c>
      <c r="CG37" s="1">
        <v>201020.93</v>
      </c>
      <c r="CH37" s="1">
        <v>0</v>
      </c>
      <c r="CI37" s="1">
        <v>0</v>
      </c>
      <c r="CJ37" s="1">
        <v>0</v>
      </c>
      <c r="CK37" s="1">
        <v>0</v>
      </c>
      <c r="CL37" s="1">
        <v>0</v>
      </c>
      <c r="CM37" s="1">
        <v>0</v>
      </c>
      <c r="CN37" s="1">
        <v>0</v>
      </c>
      <c r="CO37" s="1">
        <v>0</v>
      </c>
      <c r="CP37" s="1">
        <v>0</v>
      </c>
      <c r="CQ37" s="1">
        <v>0</v>
      </c>
      <c r="CR37" s="1" t="s">
        <v>139</v>
      </c>
      <c r="CS37" s="1" t="s">
        <v>140</v>
      </c>
      <c r="CT37" s="1" t="s">
        <v>394</v>
      </c>
      <c r="CV37" s="1" t="s">
        <v>788</v>
      </c>
      <c r="CW37" s="1" t="s">
        <v>251</v>
      </c>
      <c r="CX37" s="1" t="s">
        <v>745</v>
      </c>
      <c r="CY37" s="1" t="s">
        <v>143</v>
      </c>
      <c r="CZ37" s="1" t="s">
        <v>144</v>
      </c>
      <c r="DA37" s="1" t="s">
        <v>145</v>
      </c>
    </row>
    <row r="38" spans="1:105" s="3" customFormat="1" ht="11.25" customHeight="1" x14ac:dyDescent="0.2">
      <c r="A38" s="1">
        <v>41</v>
      </c>
      <c r="B38" s="1" t="s">
        <v>789</v>
      </c>
      <c r="C38" s="1" t="s">
        <v>790</v>
      </c>
      <c r="D38" s="1">
        <v>3234</v>
      </c>
      <c r="E38" s="2" t="s">
        <v>1688</v>
      </c>
      <c r="F38" s="1"/>
      <c r="H38" s="1"/>
      <c r="I38" s="1"/>
      <c r="J38" s="1"/>
      <c r="L38" s="1"/>
      <c r="M38" s="1"/>
      <c r="N38" s="1"/>
      <c r="O38" s="1"/>
      <c r="P38" s="1"/>
      <c r="Q38" s="1"/>
      <c r="R38" s="1"/>
      <c r="S38" s="1"/>
      <c r="T38" s="1"/>
      <c r="U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D38" s="1"/>
      <c r="BE38" s="1"/>
      <c r="BF38" s="1"/>
      <c r="BG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V38" s="1"/>
      <c r="CW38" s="1"/>
      <c r="CX38" s="1"/>
      <c r="CY38" s="1"/>
      <c r="CZ38" s="1"/>
      <c r="DA38" s="1"/>
    </row>
    <row r="39" spans="1:105" s="3" customFormat="1" ht="11.25" customHeight="1" x14ac:dyDescent="0.2">
      <c r="A39" s="1">
        <v>41</v>
      </c>
      <c r="B39" s="1" t="s">
        <v>792</v>
      </c>
      <c r="C39" s="1" t="s">
        <v>791</v>
      </c>
      <c r="D39" s="1">
        <v>6244</v>
      </c>
      <c r="E39" s="2" t="s">
        <v>4201</v>
      </c>
      <c r="F39" s="1" t="s">
        <v>113</v>
      </c>
      <c r="G39" s="1" t="s">
        <v>190</v>
      </c>
      <c r="H39" s="1" t="s">
        <v>793</v>
      </c>
      <c r="I39" s="1" t="s">
        <v>229</v>
      </c>
      <c r="J39" s="1" t="s">
        <v>229</v>
      </c>
      <c r="L39" s="1" t="s">
        <v>794</v>
      </c>
      <c r="M39" s="1" t="s">
        <v>111</v>
      </c>
      <c r="N39" s="1" t="s">
        <v>112</v>
      </c>
      <c r="O39" s="1" t="s">
        <v>113</v>
      </c>
      <c r="P39" s="1" t="s">
        <v>113</v>
      </c>
      <c r="Q39" s="1" t="s">
        <v>111</v>
      </c>
      <c r="R39" s="1" t="s">
        <v>724</v>
      </c>
      <c r="S39" s="1" t="s">
        <v>724</v>
      </c>
      <c r="T39" s="1" t="s">
        <v>113</v>
      </c>
      <c r="U39" s="1" t="s">
        <v>724</v>
      </c>
      <c r="V39" s="1" t="s">
        <v>795</v>
      </c>
      <c r="W39" s="1" t="s">
        <v>755</v>
      </c>
      <c r="X39" s="1" t="s">
        <v>113</v>
      </c>
      <c r="Y39" s="1" t="s">
        <v>724</v>
      </c>
      <c r="Z39" s="1">
        <v>100</v>
      </c>
      <c r="AA39" s="1" t="s">
        <v>116</v>
      </c>
      <c r="AB39" s="1" t="s">
        <v>158</v>
      </c>
      <c r="AC39" s="1" t="s">
        <v>118</v>
      </c>
      <c r="AD39" s="1">
        <v>70</v>
      </c>
      <c r="AE39" s="1" t="s">
        <v>116</v>
      </c>
      <c r="AF39" s="1">
        <v>360</v>
      </c>
      <c r="AG39" s="1" t="s">
        <v>113</v>
      </c>
      <c r="AH39" s="1">
        <v>0</v>
      </c>
      <c r="AI39" s="1">
        <v>0</v>
      </c>
      <c r="AJ39" s="1">
        <v>0</v>
      </c>
      <c r="AK39" s="1" t="s">
        <v>796</v>
      </c>
      <c r="AL39" s="1">
        <v>10</v>
      </c>
      <c r="AM39" s="1" t="s">
        <v>797</v>
      </c>
      <c r="AN39" s="1">
        <v>10</v>
      </c>
      <c r="AO39" s="1" t="s">
        <v>113</v>
      </c>
      <c r="AP39" s="1" t="s">
        <v>113</v>
      </c>
      <c r="AQ39" s="1" t="s">
        <v>724</v>
      </c>
      <c r="AR39" s="1" t="s">
        <v>724</v>
      </c>
      <c r="AS39" s="1" t="s">
        <v>724</v>
      </c>
      <c r="AT39" s="1" t="s">
        <v>650</v>
      </c>
      <c r="AU39" s="1" t="s">
        <v>106</v>
      </c>
      <c r="AV39" s="1" t="s">
        <v>113</v>
      </c>
      <c r="AW39" s="1" t="s">
        <v>164</v>
      </c>
      <c r="AX39" s="1" t="s">
        <v>165</v>
      </c>
      <c r="AY39" s="1">
        <v>0</v>
      </c>
      <c r="AZ39" s="1" t="s">
        <v>113</v>
      </c>
      <c r="BA39" s="1" t="s">
        <v>113</v>
      </c>
      <c r="BB39" s="1" t="s">
        <v>125</v>
      </c>
      <c r="BD39" s="1">
        <v>0</v>
      </c>
      <c r="BE39" s="1">
        <v>100</v>
      </c>
      <c r="BF39" s="1" t="s">
        <v>209</v>
      </c>
      <c r="BG39" s="1" t="s">
        <v>116</v>
      </c>
      <c r="BH39" s="1" t="s">
        <v>168</v>
      </c>
      <c r="BI39" s="1" t="s">
        <v>168</v>
      </c>
      <c r="BJ39" s="1" t="s">
        <v>208</v>
      </c>
      <c r="BK39" s="1">
        <v>70</v>
      </c>
      <c r="BL39" s="1" t="s">
        <v>209</v>
      </c>
      <c r="BM39" s="1" t="s">
        <v>210</v>
      </c>
      <c r="BN39" s="1" t="s">
        <v>276</v>
      </c>
      <c r="BO39" s="1">
        <v>0</v>
      </c>
      <c r="BP39" s="1" t="s">
        <v>124</v>
      </c>
      <c r="BQ39" s="1" t="s">
        <v>724</v>
      </c>
      <c r="BR39" s="1" t="s">
        <v>798</v>
      </c>
      <c r="BS39" s="1" t="s">
        <v>799</v>
      </c>
      <c r="BT39" s="1" t="s">
        <v>172</v>
      </c>
      <c r="BU39" s="1" t="s">
        <v>239</v>
      </c>
      <c r="BV39" s="1" t="s">
        <v>800</v>
      </c>
      <c r="BW39" s="1" t="s">
        <v>298</v>
      </c>
      <c r="BX39" s="1" t="s">
        <v>325</v>
      </c>
      <c r="BY39" s="1" t="s">
        <v>454</v>
      </c>
      <c r="BZ39" s="1" t="s">
        <v>724</v>
      </c>
      <c r="CA39" s="1">
        <v>150</v>
      </c>
      <c r="CB39" s="1" t="s">
        <v>244</v>
      </c>
      <c r="CC39" s="1" t="s">
        <v>177</v>
      </c>
      <c r="CE39" s="1" t="s">
        <v>179</v>
      </c>
      <c r="CF39" s="1" t="s">
        <v>801</v>
      </c>
      <c r="CG39" s="6">
        <v>350000</v>
      </c>
      <c r="CH39" s="1">
        <v>0</v>
      </c>
      <c r="CI39" s="1">
        <v>0</v>
      </c>
      <c r="CJ39" s="1">
        <v>0</v>
      </c>
      <c r="CK39" s="1">
        <v>0</v>
      </c>
      <c r="CL39" s="1">
        <v>0</v>
      </c>
      <c r="CM39" s="1">
        <v>0</v>
      </c>
      <c r="CN39" s="1">
        <v>0</v>
      </c>
      <c r="CO39" s="1">
        <v>0</v>
      </c>
      <c r="CP39" s="1">
        <v>0</v>
      </c>
      <c r="CQ39" s="1">
        <v>0</v>
      </c>
      <c r="CR39" s="1" t="s">
        <v>139</v>
      </c>
      <c r="CS39" s="1" t="s">
        <v>140</v>
      </c>
      <c r="CT39" s="1" t="s">
        <v>802</v>
      </c>
      <c r="CV39" s="1" t="s">
        <v>589</v>
      </c>
      <c r="CW39" s="1" t="s">
        <v>284</v>
      </c>
      <c r="CX39" s="1" t="s">
        <v>803</v>
      </c>
      <c r="CY39" s="1" t="s">
        <v>276</v>
      </c>
      <c r="CZ39" s="1" t="s">
        <v>144</v>
      </c>
      <c r="DA39" s="1" t="s">
        <v>145</v>
      </c>
    </row>
    <row r="40" spans="1:105" s="3" customFormat="1" ht="11.25" customHeight="1" x14ac:dyDescent="0.2">
      <c r="A40" s="1">
        <v>41</v>
      </c>
      <c r="B40" s="1" t="s">
        <v>804</v>
      </c>
      <c r="C40" s="1" t="s">
        <v>805</v>
      </c>
      <c r="D40" s="1">
        <v>3299</v>
      </c>
      <c r="E40" s="2" t="s">
        <v>1688</v>
      </c>
      <c r="F40" s="1"/>
      <c r="G40" s="1"/>
      <c r="H40" s="1"/>
      <c r="I40" s="1"/>
      <c r="J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S40" s="1"/>
      <c r="CT40" s="1"/>
      <c r="CW40" s="1"/>
      <c r="CX40" s="1"/>
      <c r="CY40" s="1"/>
      <c r="CZ40" s="1"/>
      <c r="DA40" s="1"/>
    </row>
    <row r="41" spans="1:105" s="3" customFormat="1" ht="11.25" customHeight="1" x14ac:dyDescent="0.2">
      <c r="A41" s="1">
        <v>41</v>
      </c>
      <c r="B41" s="1" t="s">
        <v>807</v>
      </c>
      <c r="C41" s="1" t="s">
        <v>806</v>
      </c>
      <c r="D41" s="1">
        <v>8034</v>
      </c>
      <c r="E41" s="2" t="s">
        <v>4201</v>
      </c>
      <c r="F41" s="1" t="s">
        <v>113</v>
      </c>
      <c r="H41" s="1" t="s">
        <v>682</v>
      </c>
      <c r="I41" s="1" t="s">
        <v>229</v>
      </c>
      <c r="J41" s="1" t="s">
        <v>229</v>
      </c>
      <c r="K41" s="1" t="s">
        <v>682</v>
      </c>
      <c r="L41" s="1" t="s">
        <v>111</v>
      </c>
      <c r="M41" s="1" t="s">
        <v>682</v>
      </c>
      <c r="N41" s="1" t="s">
        <v>112</v>
      </c>
      <c r="O41" s="1" t="s">
        <v>106</v>
      </c>
      <c r="P41" s="1" t="s">
        <v>113</v>
      </c>
      <c r="Q41" s="1" t="s">
        <v>258</v>
      </c>
      <c r="R41" s="1" t="s">
        <v>808</v>
      </c>
      <c r="S41" s="1" t="s">
        <v>809</v>
      </c>
      <c r="T41" s="1" t="s">
        <v>106</v>
      </c>
      <c r="U41" s="1" t="s">
        <v>810</v>
      </c>
      <c r="V41" s="1" t="s">
        <v>811</v>
      </c>
      <c r="W41" s="1" t="s">
        <v>115</v>
      </c>
      <c r="X41" s="1" t="s">
        <v>113</v>
      </c>
      <c r="Y41" s="1" t="s">
        <v>373</v>
      </c>
      <c r="Z41" s="1">
        <v>100</v>
      </c>
      <c r="AA41" s="1" t="s">
        <v>116</v>
      </c>
      <c r="AB41" s="1" t="s">
        <v>128</v>
      </c>
      <c r="AC41" s="1" t="s">
        <v>118</v>
      </c>
      <c r="AD41" s="1">
        <v>70</v>
      </c>
      <c r="AE41" s="1" t="s">
        <v>116</v>
      </c>
      <c r="AF41" s="1">
        <v>1187</v>
      </c>
      <c r="AG41" s="1" t="s">
        <v>106</v>
      </c>
      <c r="AH41" s="1">
        <v>65</v>
      </c>
      <c r="AI41" s="1">
        <v>24</v>
      </c>
      <c r="AJ41" s="1">
        <v>11</v>
      </c>
      <c r="AK41" s="1" t="s">
        <v>232</v>
      </c>
      <c r="AL41" s="1">
        <v>0</v>
      </c>
      <c r="AM41" s="1" t="s">
        <v>157</v>
      </c>
      <c r="AN41" s="1">
        <v>0</v>
      </c>
      <c r="AO41" s="1" t="s">
        <v>113</v>
      </c>
      <c r="AP41" s="1" t="s">
        <v>106</v>
      </c>
      <c r="AQ41" s="1" t="s">
        <v>812</v>
      </c>
      <c r="AR41" s="1" t="s">
        <v>813</v>
      </c>
      <c r="AS41" s="1" t="s">
        <v>814</v>
      </c>
      <c r="AT41" s="1" t="s">
        <v>123</v>
      </c>
      <c r="AU41" s="1" t="s">
        <v>113</v>
      </c>
      <c r="AV41" s="1" t="s">
        <v>113</v>
      </c>
      <c r="AW41" s="1" t="s">
        <v>164</v>
      </c>
      <c r="AX41" s="1" t="s">
        <v>165</v>
      </c>
      <c r="AY41" s="1">
        <v>0</v>
      </c>
      <c r="AZ41" s="1" t="s">
        <v>113</v>
      </c>
      <c r="BA41" s="1" t="s">
        <v>113</v>
      </c>
      <c r="BB41" s="1" t="s">
        <v>125</v>
      </c>
      <c r="BC41" s="1" t="s">
        <v>166</v>
      </c>
      <c r="BD41" s="1">
        <v>0</v>
      </c>
      <c r="BE41" s="1">
        <v>100</v>
      </c>
      <c r="BF41" s="1" t="s">
        <v>630</v>
      </c>
      <c r="BG41" s="1" t="s">
        <v>383</v>
      </c>
      <c r="BH41" s="1" t="s">
        <v>269</v>
      </c>
      <c r="BI41" s="1" t="s">
        <v>269</v>
      </c>
      <c r="BJ41" s="1" t="s">
        <v>208</v>
      </c>
      <c r="BK41" s="1">
        <v>70</v>
      </c>
      <c r="BL41" s="1" t="s">
        <v>270</v>
      </c>
      <c r="BM41" s="1" t="s">
        <v>386</v>
      </c>
      <c r="BN41" s="1">
        <v>1</v>
      </c>
      <c r="BO41" s="1">
        <v>9</v>
      </c>
      <c r="BP41" s="1" t="s">
        <v>115</v>
      </c>
      <c r="BQ41" s="1" t="s">
        <v>388</v>
      </c>
      <c r="BR41" s="1" t="s">
        <v>815</v>
      </c>
      <c r="BS41" s="1" t="s">
        <v>816</v>
      </c>
      <c r="BT41" s="1" t="s">
        <v>172</v>
      </c>
      <c r="BU41" s="1" t="s">
        <v>132</v>
      </c>
      <c r="BV41" s="1" t="s">
        <v>817</v>
      </c>
      <c r="BW41" s="1" t="s">
        <v>134</v>
      </c>
      <c r="BX41" s="1" t="s">
        <v>157</v>
      </c>
      <c r="BY41" s="1" t="s">
        <v>135</v>
      </c>
      <c r="BZ41" s="1" t="s">
        <v>818</v>
      </c>
      <c r="CA41" s="1">
        <v>1187</v>
      </c>
      <c r="CB41" s="1" t="s">
        <v>176</v>
      </c>
      <c r="CC41" s="1" t="s">
        <v>217</v>
      </c>
      <c r="CD41" s="1" t="s">
        <v>819</v>
      </c>
      <c r="CE41" s="1" t="s">
        <v>219</v>
      </c>
      <c r="CF41" s="1">
        <v>324361.81</v>
      </c>
      <c r="CG41" s="1">
        <v>850862.79</v>
      </c>
      <c r="CH41" s="1">
        <v>95743.01</v>
      </c>
      <c r="CI41" s="1">
        <v>199985.5</v>
      </c>
      <c r="CJ41" s="1">
        <v>405000</v>
      </c>
      <c r="CK41" s="1">
        <v>53401.88</v>
      </c>
      <c r="CL41" s="1">
        <v>16000</v>
      </c>
      <c r="CM41" s="1">
        <v>9906</v>
      </c>
      <c r="CN41" s="1">
        <v>45000</v>
      </c>
      <c r="CO41" s="5" t="s">
        <v>220</v>
      </c>
      <c r="CP41" s="5" t="s">
        <v>220</v>
      </c>
      <c r="CQ41" s="5" t="s">
        <v>220</v>
      </c>
      <c r="CR41" s="1" t="s">
        <v>139</v>
      </c>
      <c r="CS41" s="1" t="s">
        <v>140</v>
      </c>
      <c r="CT41" s="1" t="s">
        <v>820</v>
      </c>
      <c r="CU41" s="1" t="s">
        <v>821</v>
      </c>
      <c r="CV41" s="1" t="s">
        <v>310</v>
      </c>
      <c r="CW41" s="1" t="s">
        <v>184</v>
      </c>
      <c r="CX41" s="1" t="s">
        <v>822</v>
      </c>
      <c r="CY41" s="1" t="s">
        <v>823</v>
      </c>
      <c r="CZ41" s="1" t="s">
        <v>144</v>
      </c>
      <c r="DA41" s="1" t="s">
        <v>145</v>
      </c>
    </row>
    <row r="42" spans="1:105" s="3" customFormat="1" ht="11.25" customHeight="1" x14ac:dyDescent="0.2">
      <c r="A42" s="1">
        <v>41</v>
      </c>
      <c r="B42" s="1" t="s">
        <v>825</v>
      </c>
      <c r="C42" s="1" t="s">
        <v>824</v>
      </c>
      <c r="D42" s="1">
        <v>4061</v>
      </c>
      <c r="E42" s="2" t="s">
        <v>4201</v>
      </c>
      <c r="F42" s="1" t="s">
        <v>106</v>
      </c>
      <c r="G42" s="1" t="s">
        <v>826</v>
      </c>
      <c r="H42" s="1" t="s">
        <v>827</v>
      </c>
      <c r="I42" s="1" t="s">
        <v>828</v>
      </c>
      <c r="J42" s="1" t="s">
        <v>113</v>
      </c>
      <c r="L42" s="1" t="s">
        <v>111</v>
      </c>
      <c r="M42" s="1" t="s">
        <v>829</v>
      </c>
      <c r="N42" s="1" t="s">
        <v>112</v>
      </c>
      <c r="O42" s="1" t="s">
        <v>113</v>
      </c>
      <c r="P42" s="1" t="s">
        <v>113</v>
      </c>
      <c r="Q42" s="1" t="s">
        <v>111</v>
      </c>
      <c r="R42" s="1" t="s">
        <v>114</v>
      </c>
      <c r="S42" s="1" t="s">
        <v>114</v>
      </c>
      <c r="T42" s="1" t="s">
        <v>113</v>
      </c>
      <c r="U42" s="1" t="s">
        <v>114</v>
      </c>
      <c r="W42" s="1" t="s">
        <v>115</v>
      </c>
      <c r="X42" s="1" t="s">
        <v>113</v>
      </c>
      <c r="Y42" s="1" t="s">
        <v>114</v>
      </c>
      <c r="Z42" s="1">
        <v>100</v>
      </c>
      <c r="AA42" s="1" t="s">
        <v>132</v>
      </c>
      <c r="AB42" s="1" t="s">
        <v>128</v>
      </c>
      <c r="AC42" s="1" t="s">
        <v>118</v>
      </c>
      <c r="AD42" s="1">
        <v>15</v>
      </c>
      <c r="AE42" s="1" t="s">
        <v>132</v>
      </c>
      <c r="AF42" s="1">
        <v>240</v>
      </c>
      <c r="AG42" s="1" t="s">
        <v>113</v>
      </c>
      <c r="AH42" s="1">
        <v>0</v>
      </c>
      <c r="AI42" s="1">
        <v>0</v>
      </c>
      <c r="AJ42" s="1">
        <v>0</v>
      </c>
      <c r="AK42" s="1" t="s">
        <v>119</v>
      </c>
      <c r="AM42" s="1" t="s">
        <v>830</v>
      </c>
      <c r="AO42" s="1" t="s">
        <v>113</v>
      </c>
      <c r="AP42" s="1" t="s">
        <v>113</v>
      </c>
      <c r="AQ42" s="1" t="s">
        <v>114</v>
      </c>
      <c r="AR42" s="1" t="s">
        <v>114</v>
      </c>
      <c r="AS42" s="1" t="s">
        <v>114</v>
      </c>
      <c r="AT42" s="1" t="s">
        <v>123</v>
      </c>
      <c r="AU42" s="1" t="s">
        <v>113</v>
      </c>
      <c r="AV42" s="1" t="s">
        <v>113</v>
      </c>
      <c r="AW42" s="1" t="s">
        <v>164</v>
      </c>
      <c r="AY42" s="1">
        <v>0</v>
      </c>
      <c r="AZ42" s="1" t="s">
        <v>113</v>
      </c>
      <c r="BA42" s="1" t="s">
        <v>113</v>
      </c>
      <c r="BB42" s="1" t="s">
        <v>125</v>
      </c>
      <c r="BD42" s="1">
        <v>0</v>
      </c>
      <c r="BE42" s="1">
        <v>100</v>
      </c>
      <c r="BF42" s="1" t="s">
        <v>167</v>
      </c>
      <c r="BG42" s="1" t="s">
        <v>268</v>
      </c>
      <c r="BH42" s="1" t="s">
        <v>207</v>
      </c>
      <c r="BJ42" s="1" t="s">
        <v>384</v>
      </c>
      <c r="BK42" s="1">
        <v>100</v>
      </c>
      <c r="BL42" s="1" t="s">
        <v>270</v>
      </c>
      <c r="BM42" s="1" t="s">
        <v>210</v>
      </c>
      <c r="BN42" s="1" t="s">
        <v>143</v>
      </c>
      <c r="BO42" s="1" t="s">
        <v>143</v>
      </c>
      <c r="BP42" s="1" t="s">
        <v>115</v>
      </c>
      <c r="BQ42" s="1" t="s">
        <v>831</v>
      </c>
      <c r="BR42" s="1" t="s">
        <v>832</v>
      </c>
      <c r="BS42" s="1" t="s">
        <v>833</v>
      </c>
      <c r="BT42" s="1" t="s">
        <v>172</v>
      </c>
      <c r="BU42" s="1" t="s">
        <v>132</v>
      </c>
      <c r="BV42" s="1" t="s">
        <v>834</v>
      </c>
      <c r="BW42" s="1" t="s">
        <v>134</v>
      </c>
      <c r="BX42" s="1" t="s">
        <v>693</v>
      </c>
      <c r="BY42" s="1" t="s">
        <v>135</v>
      </c>
      <c r="BZ42" s="1" t="s">
        <v>835</v>
      </c>
      <c r="CA42" s="1">
        <v>240</v>
      </c>
      <c r="CB42" s="1" t="s">
        <v>176</v>
      </c>
      <c r="CC42" s="1" t="s">
        <v>301</v>
      </c>
      <c r="CD42" s="1" t="s">
        <v>836</v>
      </c>
      <c r="CE42" s="1" t="s">
        <v>458</v>
      </c>
      <c r="CF42" s="6">
        <v>177852.24</v>
      </c>
      <c r="CG42" s="1">
        <v>280603.3</v>
      </c>
      <c r="CH42" s="1">
        <v>0</v>
      </c>
      <c r="CI42" s="1">
        <v>0</v>
      </c>
      <c r="CJ42" s="1">
        <v>0</v>
      </c>
      <c r="CK42" s="1">
        <v>0</v>
      </c>
      <c r="CL42" s="1">
        <v>0</v>
      </c>
      <c r="CM42" s="1">
        <v>0</v>
      </c>
      <c r="CN42" s="1">
        <v>0</v>
      </c>
      <c r="CO42" s="1">
        <v>0</v>
      </c>
      <c r="CP42" s="1">
        <v>0</v>
      </c>
      <c r="CQ42" s="1">
        <v>0</v>
      </c>
      <c r="CR42" s="1" t="s">
        <v>139</v>
      </c>
      <c r="CS42" s="1" t="s">
        <v>308</v>
      </c>
      <c r="CT42" s="1" t="s">
        <v>223</v>
      </c>
      <c r="CV42" s="1" t="s">
        <v>837</v>
      </c>
      <c r="CW42" s="1" t="s">
        <v>251</v>
      </c>
      <c r="CX42" s="1" t="s">
        <v>114</v>
      </c>
      <c r="CY42" s="1" t="s">
        <v>143</v>
      </c>
      <c r="CZ42" s="1" t="s">
        <v>144</v>
      </c>
      <c r="DA42" s="1" t="s">
        <v>145</v>
      </c>
    </row>
    <row r="43" spans="1:105" s="3" customFormat="1" ht="11.25" customHeight="1" x14ac:dyDescent="0.2">
      <c r="A43" s="1">
        <v>41</v>
      </c>
      <c r="B43" s="1" t="s">
        <v>839</v>
      </c>
      <c r="C43" s="1" t="s">
        <v>838</v>
      </c>
      <c r="D43" s="1">
        <v>6677</v>
      </c>
      <c r="E43" s="2" t="s">
        <v>4201</v>
      </c>
      <c r="F43" s="1" t="s">
        <v>113</v>
      </c>
      <c r="H43" s="1" t="s">
        <v>840</v>
      </c>
      <c r="I43" s="1" t="s">
        <v>229</v>
      </c>
      <c r="J43" s="1" t="s">
        <v>229</v>
      </c>
      <c r="L43" s="1" t="s">
        <v>111</v>
      </c>
      <c r="M43" s="1" t="s">
        <v>111</v>
      </c>
      <c r="N43" s="1" t="s">
        <v>112</v>
      </c>
      <c r="O43" s="1" t="s">
        <v>113</v>
      </c>
      <c r="P43" s="1" t="s">
        <v>113</v>
      </c>
      <c r="Q43" s="1" t="s">
        <v>195</v>
      </c>
      <c r="R43" s="1" t="s">
        <v>841</v>
      </c>
      <c r="S43" s="1" t="s">
        <v>114</v>
      </c>
      <c r="T43" s="1" t="s">
        <v>113</v>
      </c>
      <c r="U43" s="1" t="s">
        <v>114</v>
      </c>
      <c r="W43" s="1" t="s">
        <v>115</v>
      </c>
      <c r="X43" s="1" t="s">
        <v>113</v>
      </c>
      <c r="Y43" s="1" t="s">
        <v>114</v>
      </c>
      <c r="Z43" s="1">
        <v>100</v>
      </c>
      <c r="AA43" s="1" t="s">
        <v>116</v>
      </c>
      <c r="AB43" s="1" t="s">
        <v>128</v>
      </c>
      <c r="AC43" s="1" t="s">
        <v>384</v>
      </c>
      <c r="AD43" s="1">
        <v>100</v>
      </c>
      <c r="AE43" s="1" t="s">
        <v>116</v>
      </c>
      <c r="AF43" s="1">
        <v>1045</v>
      </c>
      <c r="AG43" s="1" t="s">
        <v>113</v>
      </c>
      <c r="AH43" s="1">
        <v>0</v>
      </c>
      <c r="AI43" s="1">
        <v>0</v>
      </c>
      <c r="AJ43" s="1">
        <v>0</v>
      </c>
      <c r="AK43" s="1" t="s">
        <v>796</v>
      </c>
      <c r="AL43" s="1">
        <v>480</v>
      </c>
      <c r="AM43" s="1" t="s">
        <v>842</v>
      </c>
      <c r="AN43" s="1">
        <v>0</v>
      </c>
      <c r="AO43" s="1" t="s">
        <v>113</v>
      </c>
      <c r="AP43" s="1" t="s">
        <v>113</v>
      </c>
      <c r="AQ43" s="1" t="s">
        <v>114</v>
      </c>
      <c r="AR43" s="1" t="s">
        <v>114</v>
      </c>
      <c r="AS43" s="1" t="s">
        <v>114</v>
      </c>
      <c r="AT43" s="1" t="s">
        <v>123</v>
      </c>
      <c r="AU43" s="1" t="s">
        <v>113</v>
      </c>
      <c r="AV43" s="1" t="s">
        <v>113</v>
      </c>
      <c r="AW43" s="1" t="s">
        <v>164</v>
      </c>
      <c r="AX43" s="1" t="s">
        <v>165</v>
      </c>
      <c r="AY43" s="1">
        <v>0</v>
      </c>
      <c r="AZ43" s="1" t="s">
        <v>113</v>
      </c>
      <c r="BA43" s="1" t="s">
        <v>113</v>
      </c>
      <c r="BB43" s="1" t="s">
        <v>125</v>
      </c>
      <c r="BD43" s="1">
        <v>0</v>
      </c>
      <c r="BE43" s="1">
        <v>0</v>
      </c>
      <c r="BF43" s="1" t="s">
        <v>127</v>
      </c>
      <c r="BG43" s="1" t="s">
        <v>127</v>
      </c>
      <c r="BJ43" s="1" t="s">
        <v>128</v>
      </c>
      <c r="BK43" s="1">
        <v>0</v>
      </c>
      <c r="BL43" s="1" t="s">
        <v>127</v>
      </c>
      <c r="BM43" s="1" t="s">
        <v>114</v>
      </c>
      <c r="BN43" s="1">
        <v>1</v>
      </c>
      <c r="BO43" s="1">
        <v>3</v>
      </c>
      <c r="BP43" s="1" t="s">
        <v>115</v>
      </c>
      <c r="BQ43" s="1" t="s">
        <v>843</v>
      </c>
      <c r="BR43" s="1" t="s">
        <v>844</v>
      </c>
      <c r="BS43" s="1" t="s">
        <v>845</v>
      </c>
      <c r="BT43" s="1" t="s">
        <v>172</v>
      </c>
      <c r="BU43" s="1" t="s">
        <v>132</v>
      </c>
      <c r="BV43" s="1" t="s">
        <v>713</v>
      </c>
      <c r="BW43" s="1" t="s">
        <v>134</v>
      </c>
      <c r="BX43" s="1" t="s">
        <v>135</v>
      </c>
      <c r="BY43" s="1" t="s">
        <v>135</v>
      </c>
      <c r="BZ43" s="1" t="s">
        <v>846</v>
      </c>
      <c r="CA43" s="1">
        <v>973</v>
      </c>
      <c r="CB43" s="1" t="s">
        <v>244</v>
      </c>
      <c r="CC43" s="1" t="s">
        <v>301</v>
      </c>
      <c r="CD43" s="1" t="s">
        <v>847</v>
      </c>
      <c r="CE43" s="1" t="s">
        <v>179</v>
      </c>
      <c r="CF43" s="1">
        <v>380433.72</v>
      </c>
      <c r="CG43" s="1">
        <v>391047.07</v>
      </c>
      <c r="CH43" s="1">
        <v>105.23</v>
      </c>
      <c r="CI43" s="1">
        <v>0</v>
      </c>
      <c r="CJ43" s="1">
        <v>165</v>
      </c>
      <c r="CK43" s="1">
        <v>0</v>
      </c>
      <c r="CL43" s="1">
        <v>0</v>
      </c>
      <c r="CM43" s="1">
        <v>0</v>
      </c>
      <c r="CN43" s="1">
        <v>95</v>
      </c>
      <c r="CO43" s="1">
        <v>0</v>
      </c>
      <c r="CP43" s="1">
        <v>0</v>
      </c>
      <c r="CQ43" s="1">
        <v>0</v>
      </c>
      <c r="CR43" s="1" t="s">
        <v>139</v>
      </c>
      <c r="CS43" s="1" t="s">
        <v>848</v>
      </c>
      <c r="CT43" s="1" t="s">
        <v>223</v>
      </c>
      <c r="CV43" s="1" t="s">
        <v>849</v>
      </c>
      <c r="CW43" s="1" t="s">
        <v>284</v>
      </c>
      <c r="CX43" s="1" t="s">
        <v>850</v>
      </c>
      <c r="CY43" s="1" t="s">
        <v>851</v>
      </c>
      <c r="CZ43" s="1" t="s">
        <v>144</v>
      </c>
      <c r="DA43" s="1" t="s">
        <v>145</v>
      </c>
    </row>
    <row r="44" spans="1:105" s="3" customFormat="1" ht="11.25" customHeight="1" x14ac:dyDescent="0.2">
      <c r="A44" s="3">
        <v>41</v>
      </c>
      <c r="B44" s="3" t="s">
        <v>852</v>
      </c>
      <c r="C44" s="3" t="s">
        <v>853</v>
      </c>
      <c r="D44" s="3">
        <v>3373</v>
      </c>
      <c r="E44" s="2" t="s">
        <v>1688</v>
      </c>
      <c r="F44" s="1"/>
      <c r="G44" s="1"/>
      <c r="H44" s="1"/>
      <c r="I44" s="1"/>
      <c r="J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P44" s="1"/>
      <c r="BQ44" s="1"/>
      <c r="BR44" s="1"/>
      <c r="BS44" s="1"/>
      <c r="BT44" s="1"/>
      <c r="BU44" s="1"/>
      <c r="BV44" s="1"/>
      <c r="BW44" s="1"/>
      <c r="BX44" s="1"/>
      <c r="BY44" s="1"/>
      <c r="BZ44" s="1"/>
      <c r="CA44" s="1"/>
      <c r="CB44" s="1"/>
      <c r="CC44" s="1"/>
      <c r="CE44" s="1"/>
      <c r="CF44" s="1"/>
      <c r="CG44" s="1"/>
      <c r="CH44" s="1"/>
      <c r="CI44" s="1"/>
      <c r="CJ44" s="1"/>
      <c r="CK44" s="1"/>
      <c r="CL44" s="1"/>
      <c r="CM44" s="1"/>
      <c r="CN44" s="1"/>
      <c r="CO44" s="1"/>
      <c r="CP44" s="1"/>
      <c r="CQ44" s="1"/>
      <c r="CR44" s="1"/>
      <c r="CS44" s="1"/>
      <c r="CT44" s="1"/>
      <c r="CV44" s="1"/>
      <c r="CW44" s="1"/>
      <c r="CX44" s="1"/>
      <c r="CY44" s="1"/>
      <c r="CZ44" s="1"/>
      <c r="DA44" s="1"/>
    </row>
    <row r="45" spans="1:105" s="3" customFormat="1" ht="11.25" customHeight="1" x14ac:dyDescent="0.2">
      <c r="A45" s="1">
        <v>41</v>
      </c>
      <c r="B45" s="1" t="s">
        <v>855</v>
      </c>
      <c r="C45" s="1" t="s">
        <v>854</v>
      </c>
      <c r="D45" s="1">
        <v>7824</v>
      </c>
      <c r="E45" s="2" t="s">
        <v>4201</v>
      </c>
      <c r="F45" s="1" t="s">
        <v>113</v>
      </c>
      <c r="G45" s="1" t="s">
        <v>190</v>
      </c>
      <c r="H45" s="1" t="s">
        <v>856</v>
      </c>
      <c r="I45" s="1" t="s">
        <v>229</v>
      </c>
      <c r="J45" s="1" t="s">
        <v>229</v>
      </c>
      <c r="K45" s="1" t="s">
        <v>856</v>
      </c>
      <c r="L45" s="1" t="s">
        <v>111</v>
      </c>
      <c r="M45" s="1" t="s">
        <v>465</v>
      </c>
      <c r="N45" s="1" t="s">
        <v>112</v>
      </c>
      <c r="O45" s="1" t="s">
        <v>106</v>
      </c>
      <c r="P45" s="1" t="s">
        <v>113</v>
      </c>
      <c r="Q45" s="1" t="s">
        <v>195</v>
      </c>
      <c r="R45" s="1" t="s">
        <v>857</v>
      </c>
      <c r="S45" s="1" t="s">
        <v>157</v>
      </c>
      <c r="T45" s="1" t="s">
        <v>106</v>
      </c>
      <c r="U45" s="1" t="s">
        <v>157</v>
      </c>
      <c r="V45" s="1" t="s">
        <v>858</v>
      </c>
      <c r="W45" s="1" t="s">
        <v>115</v>
      </c>
      <c r="X45" s="1" t="s">
        <v>113</v>
      </c>
      <c r="Y45" s="1" t="s">
        <v>157</v>
      </c>
      <c r="Z45" s="1">
        <v>100</v>
      </c>
      <c r="AA45" s="1" t="s">
        <v>859</v>
      </c>
      <c r="AB45" s="1" t="s">
        <v>128</v>
      </c>
      <c r="AC45" s="1" t="s">
        <v>128</v>
      </c>
      <c r="AD45" s="5" t="s">
        <v>220</v>
      </c>
      <c r="AE45" s="1" t="s">
        <v>157</v>
      </c>
      <c r="AF45" s="1">
        <v>1096</v>
      </c>
      <c r="AG45" s="1" t="s">
        <v>113</v>
      </c>
      <c r="AH45" s="1">
        <v>0</v>
      </c>
      <c r="AI45" s="1">
        <v>0</v>
      </c>
      <c r="AJ45" s="1">
        <v>0</v>
      </c>
      <c r="AK45" s="1" t="s">
        <v>232</v>
      </c>
      <c r="AL45" s="1">
        <v>0</v>
      </c>
      <c r="AM45" s="1" t="s">
        <v>860</v>
      </c>
      <c r="AN45" s="5" t="s">
        <v>220</v>
      </c>
      <c r="AO45" s="1" t="s">
        <v>113</v>
      </c>
      <c r="AP45" s="1" t="s">
        <v>106</v>
      </c>
      <c r="AQ45" s="1" t="s">
        <v>861</v>
      </c>
      <c r="AR45" s="1" t="s">
        <v>862</v>
      </c>
      <c r="AS45" s="1" t="s">
        <v>863</v>
      </c>
      <c r="AT45" s="1" t="s">
        <v>123</v>
      </c>
      <c r="AU45" s="1" t="s">
        <v>113</v>
      </c>
      <c r="AV45" s="1" t="s">
        <v>113</v>
      </c>
      <c r="AW45" s="1" t="s">
        <v>164</v>
      </c>
      <c r="AY45" s="1">
        <v>0</v>
      </c>
      <c r="AZ45" s="1" t="s">
        <v>113</v>
      </c>
      <c r="BA45" s="1" t="s">
        <v>113</v>
      </c>
      <c r="BB45" s="1" t="s">
        <v>125</v>
      </c>
      <c r="BC45" s="1" t="s">
        <v>166</v>
      </c>
      <c r="BD45" s="1">
        <v>0</v>
      </c>
      <c r="BE45" s="1">
        <v>100</v>
      </c>
      <c r="BF45" s="1" t="s">
        <v>167</v>
      </c>
      <c r="BG45" s="1" t="s">
        <v>268</v>
      </c>
      <c r="BH45" s="1" t="s">
        <v>450</v>
      </c>
      <c r="BI45" s="1" t="s">
        <v>450</v>
      </c>
      <c r="BJ45" s="1" t="s">
        <v>128</v>
      </c>
      <c r="BK45" s="1">
        <v>0</v>
      </c>
      <c r="BL45" s="1" t="s">
        <v>127</v>
      </c>
      <c r="BM45" s="1" t="s">
        <v>114</v>
      </c>
      <c r="BN45" s="1">
        <v>17</v>
      </c>
      <c r="BO45" s="1">
        <v>0</v>
      </c>
      <c r="BP45" s="1" t="s">
        <v>115</v>
      </c>
      <c r="BQ45" s="1" t="s">
        <v>864</v>
      </c>
      <c r="BR45" s="1" t="s">
        <v>865</v>
      </c>
      <c r="BS45" s="1" t="s">
        <v>866</v>
      </c>
      <c r="BT45" s="1" t="s">
        <v>172</v>
      </c>
      <c r="BU45" s="1" t="s">
        <v>132</v>
      </c>
      <c r="BV45" s="1" t="s">
        <v>474</v>
      </c>
      <c r="BW45" s="1" t="s">
        <v>134</v>
      </c>
      <c r="BX45" s="1" t="s">
        <v>135</v>
      </c>
      <c r="BY45" s="1" t="s">
        <v>135</v>
      </c>
      <c r="BZ45" s="1" t="s">
        <v>867</v>
      </c>
      <c r="CA45" s="1">
        <v>1096</v>
      </c>
      <c r="CB45" s="1" t="s">
        <v>244</v>
      </c>
      <c r="CC45" s="1" t="s">
        <v>496</v>
      </c>
      <c r="CD45" s="1" t="s">
        <v>868</v>
      </c>
      <c r="CE45" s="1" t="s">
        <v>478</v>
      </c>
      <c r="CF45" s="6">
        <v>358714.38</v>
      </c>
      <c r="CG45" s="6">
        <v>1156504.4099999999</v>
      </c>
      <c r="CH45" s="1">
        <v>740.14</v>
      </c>
      <c r="CI45" s="1">
        <v>315.06</v>
      </c>
      <c r="CJ45" s="1">
        <v>315.06</v>
      </c>
      <c r="CK45" s="1">
        <v>0.32</v>
      </c>
      <c r="CL45" s="5" t="s">
        <v>220</v>
      </c>
      <c r="CM45" s="5" t="s">
        <v>220</v>
      </c>
      <c r="CN45" s="5" t="s">
        <v>220</v>
      </c>
      <c r="CO45" s="5" t="s">
        <v>126</v>
      </c>
      <c r="CP45" s="5" t="s">
        <v>220</v>
      </c>
      <c r="CQ45" s="5" t="s">
        <v>220</v>
      </c>
      <c r="CR45" s="1" t="s">
        <v>180</v>
      </c>
      <c r="CS45" s="1" t="s">
        <v>140</v>
      </c>
      <c r="CT45" s="1" t="s">
        <v>282</v>
      </c>
      <c r="CV45" s="1" t="s">
        <v>869</v>
      </c>
      <c r="CW45" s="1" t="s">
        <v>184</v>
      </c>
      <c r="CX45" s="1" t="s">
        <v>870</v>
      </c>
      <c r="CY45" s="1" t="s">
        <v>652</v>
      </c>
      <c r="CZ45" s="1" t="s">
        <v>144</v>
      </c>
      <c r="DA45" s="1" t="s">
        <v>145</v>
      </c>
    </row>
    <row r="46" spans="1:105" s="3" customFormat="1" ht="11.25" customHeight="1" x14ac:dyDescent="0.2">
      <c r="A46" s="1">
        <v>41</v>
      </c>
      <c r="B46" s="1" t="s">
        <v>872</v>
      </c>
      <c r="C46" s="1" t="s">
        <v>871</v>
      </c>
      <c r="D46" s="1">
        <v>2655</v>
      </c>
      <c r="E46" s="2" t="s">
        <v>4201</v>
      </c>
      <c r="F46" s="1" t="s">
        <v>113</v>
      </c>
      <c r="G46" s="1" t="s">
        <v>190</v>
      </c>
      <c r="H46" s="1" t="s">
        <v>332</v>
      </c>
      <c r="I46" s="1" t="s">
        <v>229</v>
      </c>
      <c r="J46" s="1" t="s">
        <v>229</v>
      </c>
      <c r="K46" s="1"/>
      <c r="L46" s="1" t="s">
        <v>111</v>
      </c>
      <c r="M46" s="1" t="s">
        <v>191</v>
      </c>
      <c r="N46" s="1" t="s">
        <v>873</v>
      </c>
      <c r="O46" s="1" t="s">
        <v>113</v>
      </c>
      <c r="P46" s="1" t="s">
        <v>113</v>
      </c>
      <c r="Q46" s="1" t="s">
        <v>195</v>
      </c>
      <c r="R46" s="1" t="s">
        <v>874</v>
      </c>
      <c r="S46" s="1" t="s">
        <v>157</v>
      </c>
      <c r="T46" s="1" t="s">
        <v>106</v>
      </c>
      <c r="U46" s="1" t="s">
        <v>874</v>
      </c>
      <c r="V46" s="1" t="s">
        <v>262</v>
      </c>
      <c r="W46" s="1" t="s">
        <v>199</v>
      </c>
      <c r="X46" s="1" t="s">
        <v>113</v>
      </c>
      <c r="Y46" s="1" t="s">
        <v>157</v>
      </c>
      <c r="Z46" s="1">
        <v>100</v>
      </c>
      <c r="AA46" s="1" t="s">
        <v>116</v>
      </c>
      <c r="AB46" s="1" t="s">
        <v>128</v>
      </c>
      <c r="AC46" s="1" t="s">
        <v>128</v>
      </c>
      <c r="AD46" s="1">
        <v>0</v>
      </c>
      <c r="AE46" s="1" t="s">
        <v>875</v>
      </c>
      <c r="AF46" s="1">
        <v>250</v>
      </c>
      <c r="AG46" s="1" t="s">
        <v>113</v>
      </c>
      <c r="AH46" s="1">
        <v>0</v>
      </c>
      <c r="AI46" s="1">
        <v>0</v>
      </c>
      <c r="AJ46" s="1">
        <v>0</v>
      </c>
      <c r="AK46" s="1" t="s">
        <v>626</v>
      </c>
      <c r="AL46" s="1">
        <v>1500</v>
      </c>
      <c r="AM46" s="1" t="s">
        <v>876</v>
      </c>
      <c r="AN46" s="1">
        <v>0</v>
      </c>
      <c r="AO46" s="1" t="s">
        <v>113</v>
      </c>
      <c r="AP46" s="1" t="s">
        <v>106</v>
      </c>
      <c r="AQ46" s="1" t="s">
        <v>877</v>
      </c>
      <c r="AR46" s="1" t="s">
        <v>878</v>
      </c>
      <c r="AS46" s="1" t="s">
        <v>879</v>
      </c>
      <c r="AT46" s="1" t="s">
        <v>880</v>
      </c>
      <c r="AU46" s="1" t="s">
        <v>113</v>
      </c>
      <c r="AV46" s="1" t="s">
        <v>113</v>
      </c>
      <c r="AW46" s="1" t="s">
        <v>164</v>
      </c>
      <c r="AX46" s="1" t="s">
        <v>165</v>
      </c>
      <c r="AY46" s="1">
        <v>12</v>
      </c>
      <c r="AZ46" s="1" t="s">
        <v>113</v>
      </c>
      <c r="BA46" s="1" t="s">
        <v>113</v>
      </c>
      <c r="BB46" s="1" t="s">
        <v>125</v>
      </c>
      <c r="BC46" s="1" t="s">
        <v>166</v>
      </c>
      <c r="BD46" s="1">
        <v>12</v>
      </c>
      <c r="BE46" s="1">
        <v>100</v>
      </c>
      <c r="BF46" s="1" t="s">
        <v>167</v>
      </c>
      <c r="BG46" s="1" t="s">
        <v>383</v>
      </c>
      <c r="BH46" s="1" t="s">
        <v>269</v>
      </c>
      <c r="BI46" s="1" t="s">
        <v>269</v>
      </c>
      <c r="BJ46" s="1" t="s">
        <v>128</v>
      </c>
      <c r="BK46" s="1">
        <v>0</v>
      </c>
      <c r="BL46" s="1" t="s">
        <v>127</v>
      </c>
      <c r="BM46" s="1" t="s">
        <v>114</v>
      </c>
      <c r="BN46" s="1">
        <v>7</v>
      </c>
      <c r="BO46" s="1"/>
      <c r="BP46" s="1" t="s">
        <v>115</v>
      </c>
      <c r="BQ46" s="1" t="s">
        <v>881</v>
      </c>
      <c r="BR46" s="1" t="s">
        <v>882</v>
      </c>
      <c r="BS46" s="1" t="s">
        <v>883</v>
      </c>
      <c r="BT46" s="1" t="s">
        <v>172</v>
      </c>
      <c r="BU46" s="1" t="s">
        <v>132</v>
      </c>
      <c r="BV46" s="1" t="s">
        <v>133</v>
      </c>
      <c r="BW46" s="1" t="s">
        <v>134</v>
      </c>
      <c r="BX46" s="1" t="s">
        <v>137</v>
      </c>
      <c r="BY46" s="1" t="s">
        <v>135</v>
      </c>
      <c r="BZ46" s="1" t="s">
        <v>884</v>
      </c>
      <c r="CA46" s="1">
        <v>250</v>
      </c>
      <c r="CB46" s="1" t="s">
        <v>244</v>
      </c>
      <c r="CC46" s="1" t="s">
        <v>217</v>
      </c>
      <c r="CD46" s="1" t="s">
        <v>885</v>
      </c>
      <c r="CE46" s="1" t="s">
        <v>179</v>
      </c>
      <c r="CF46" s="1">
        <v>36700</v>
      </c>
      <c r="CG46" s="1">
        <v>350000</v>
      </c>
      <c r="CH46" s="1">
        <v>110000</v>
      </c>
      <c r="CI46" s="1">
        <v>120000</v>
      </c>
      <c r="CJ46" s="1">
        <v>110000</v>
      </c>
      <c r="CK46" s="1">
        <v>120000</v>
      </c>
      <c r="CL46" s="1">
        <v>0</v>
      </c>
      <c r="CM46" s="1">
        <v>0</v>
      </c>
      <c r="CN46" s="1">
        <v>50000</v>
      </c>
      <c r="CO46" s="1">
        <v>0</v>
      </c>
      <c r="CP46" s="1">
        <v>0</v>
      </c>
      <c r="CQ46" s="1">
        <v>0</v>
      </c>
      <c r="CR46" s="1" t="s">
        <v>139</v>
      </c>
      <c r="CS46" s="1" t="s">
        <v>327</v>
      </c>
      <c r="CT46" s="1" t="s">
        <v>223</v>
      </c>
      <c r="CU46" s="1"/>
      <c r="CV46" s="1" t="s">
        <v>886</v>
      </c>
      <c r="CW46" s="1" t="s">
        <v>251</v>
      </c>
      <c r="CX46" s="1" t="s">
        <v>157</v>
      </c>
      <c r="CY46" s="1" t="s">
        <v>887</v>
      </c>
      <c r="CZ46" s="1" t="s">
        <v>144</v>
      </c>
      <c r="DA46" s="1" t="s">
        <v>145</v>
      </c>
    </row>
    <row r="47" spans="1:105" s="3" customFormat="1" ht="11.25" customHeight="1" x14ac:dyDescent="0.2">
      <c r="A47" s="1">
        <v>41</v>
      </c>
      <c r="B47" s="1" t="s">
        <v>888</v>
      </c>
      <c r="C47" s="1" t="s">
        <v>889</v>
      </c>
      <c r="D47" s="1">
        <v>3486</v>
      </c>
      <c r="E47" s="2" t="s">
        <v>1688</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s="3" customFormat="1" ht="11.25" customHeight="1" x14ac:dyDescent="0.2">
      <c r="A48" s="1">
        <v>41</v>
      </c>
      <c r="B48" s="1" t="s">
        <v>891</v>
      </c>
      <c r="C48" s="1" t="s">
        <v>890</v>
      </c>
      <c r="D48" s="1">
        <v>19844</v>
      </c>
      <c r="E48" s="2" t="s">
        <v>4201</v>
      </c>
      <c r="F48" s="1" t="s">
        <v>106</v>
      </c>
      <c r="G48" s="1" t="s">
        <v>371</v>
      </c>
      <c r="H48" s="1" t="s">
        <v>372</v>
      </c>
      <c r="I48" s="1" t="s">
        <v>193</v>
      </c>
      <c r="J48" s="1" t="s">
        <v>113</v>
      </c>
      <c r="L48" s="1" t="s">
        <v>111</v>
      </c>
      <c r="M48" s="1" t="s">
        <v>111</v>
      </c>
      <c r="N48" s="1" t="s">
        <v>151</v>
      </c>
      <c r="O48" s="1" t="s">
        <v>106</v>
      </c>
      <c r="P48" s="1" t="s">
        <v>106</v>
      </c>
      <c r="Q48" s="1" t="s">
        <v>152</v>
      </c>
      <c r="R48" s="1" t="s">
        <v>114</v>
      </c>
      <c r="S48" s="1" t="s">
        <v>114</v>
      </c>
      <c r="T48" s="1" t="s">
        <v>113</v>
      </c>
      <c r="U48" s="1" t="s">
        <v>114</v>
      </c>
      <c r="W48" s="1" t="s">
        <v>115</v>
      </c>
      <c r="Z48" s="1">
        <v>100</v>
      </c>
      <c r="AA48" s="1" t="s">
        <v>116</v>
      </c>
      <c r="AB48" s="1" t="s">
        <v>128</v>
      </c>
      <c r="AC48" s="1" t="s">
        <v>128</v>
      </c>
      <c r="AD48" s="1">
        <v>0</v>
      </c>
      <c r="AE48" s="1" t="s">
        <v>114</v>
      </c>
      <c r="AF48" s="5" t="s">
        <v>892</v>
      </c>
      <c r="AG48" s="1" t="s">
        <v>106</v>
      </c>
      <c r="AH48" s="1" t="s">
        <v>893</v>
      </c>
      <c r="AI48" s="1" t="s">
        <v>894</v>
      </c>
      <c r="AJ48" s="1" t="s">
        <v>895</v>
      </c>
      <c r="AK48" s="1" t="s">
        <v>758</v>
      </c>
      <c r="AM48" s="1" t="s">
        <v>120</v>
      </c>
      <c r="AO48" s="1" t="s">
        <v>113</v>
      </c>
      <c r="AP48" s="1" t="s">
        <v>106</v>
      </c>
      <c r="AQ48" s="1" t="s">
        <v>896</v>
      </c>
      <c r="AR48" s="1" t="s">
        <v>897</v>
      </c>
      <c r="AS48" s="1" t="s">
        <v>898</v>
      </c>
      <c r="AT48" s="1" t="s">
        <v>204</v>
      </c>
      <c r="AU48" s="1" t="s">
        <v>106</v>
      </c>
      <c r="AV48" s="1" t="s">
        <v>106</v>
      </c>
      <c r="AW48" s="1" t="s">
        <v>164</v>
      </c>
      <c r="AY48" s="1">
        <v>0</v>
      </c>
      <c r="AZ48" s="1" t="s">
        <v>113</v>
      </c>
      <c r="BA48" s="1" t="s">
        <v>113</v>
      </c>
      <c r="BB48" s="1" t="s">
        <v>125</v>
      </c>
      <c r="BD48" s="1">
        <v>0</v>
      </c>
      <c r="BE48" s="1">
        <v>100</v>
      </c>
      <c r="BF48" s="1" t="s">
        <v>167</v>
      </c>
      <c r="BG48" s="1" t="s">
        <v>383</v>
      </c>
      <c r="BH48" s="1" t="s">
        <v>269</v>
      </c>
      <c r="BI48" s="1" t="s">
        <v>269</v>
      </c>
      <c r="BJ48" s="1" t="s">
        <v>384</v>
      </c>
      <c r="BK48" s="1">
        <v>100</v>
      </c>
      <c r="BL48" s="1" t="s">
        <v>899</v>
      </c>
      <c r="BM48" s="1" t="s">
        <v>386</v>
      </c>
      <c r="BN48" s="1">
        <v>55</v>
      </c>
      <c r="BP48" s="1" t="s">
        <v>115</v>
      </c>
      <c r="BQ48" s="1" t="s">
        <v>388</v>
      </c>
      <c r="BR48" s="1" t="s">
        <v>900</v>
      </c>
      <c r="BS48" s="1" t="s">
        <v>901</v>
      </c>
      <c r="BT48" s="1" t="s">
        <v>172</v>
      </c>
      <c r="BU48" s="1" t="s">
        <v>132</v>
      </c>
      <c r="BV48" s="1" t="s">
        <v>174</v>
      </c>
      <c r="BW48" s="1" t="s">
        <v>134</v>
      </c>
      <c r="BX48" s="1" t="s">
        <v>902</v>
      </c>
      <c r="BY48" s="1" t="s">
        <v>135</v>
      </c>
      <c r="BZ48" s="1" t="s">
        <v>903</v>
      </c>
      <c r="CA48" s="5" t="s">
        <v>892</v>
      </c>
      <c r="CB48" s="1" t="s">
        <v>244</v>
      </c>
      <c r="CC48" s="1" t="s">
        <v>217</v>
      </c>
      <c r="CE48" s="1" t="s">
        <v>219</v>
      </c>
      <c r="CF48" s="1">
        <v>964666.8</v>
      </c>
      <c r="CG48" s="1">
        <v>4002055.24</v>
      </c>
      <c r="CH48" s="1">
        <v>156.88999999999999</v>
      </c>
      <c r="CI48" s="1">
        <v>0</v>
      </c>
      <c r="CJ48" s="1">
        <v>306.13</v>
      </c>
      <c r="CK48" s="1">
        <v>369.32</v>
      </c>
      <c r="CL48" s="1" t="s">
        <v>904</v>
      </c>
      <c r="CM48" s="1" t="s">
        <v>905</v>
      </c>
      <c r="CN48" s="1">
        <v>0</v>
      </c>
      <c r="CO48" s="1">
        <v>0</v>
      </c>
      <c r="CP48" s="1">
        <v>0</v>
      </c>
      <c r="CQ48" s="1">
        <v>0</v>
      </c>
      <c r="CR48" s="1" t="s">
        <v>139</v>
      </c>
      <c r="CS48" s="1" t="s">
        <v>308</v>
      </c>
      <c r="CT48" s="1" t="s">
        <v>906</v>
      </c>
      <c r="CU48" s="1" t="s">
        <v>617</v>
      </c>
      <c r="CV48" s="1" t="s">
        <v>907</v>
      </c>
      <c r="CW48" s="1" t="s">
        <v>184</v>
      </c>
      <c r="CX48" s="1" t="s">
        <v>908</v>
      </c>
      <c r="CY48" s="1">
        <v>141923234</v>
      </c>
      <c r="CZ48" s="1" t="s">
        <v>144</v>
      </c>
      <c r="DA48" s="1" t="s">
        <v>145</v>
      </c>
    </row>
    <row r="49" spans="1:105" s="3" customFormat="1" ht="11.25" customHeight="1" x14ac:dyDescent="0.2">
      <c r="A49" s="1">
        <v>41</v>
      </c>
      <c r="B49" s="1" t="s">
        <v>909</v>
      </c>
      <c r="C49" s="1" t="s">
        <v>910</v>
      </c>
      <c r="D49" s="1">
        <v>3501</v>
      </c>
      <c r="E49" s="2" t="s">
        <v>1688</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F49" s="1"/>
      <c r="CG49" s="1"/>
      <c r="CH49" s="1"/>
      <c r="CI49" s="1"/>
      <c r="CJ49" s="1"/>
      <c r="CK49" s="1"/>
      <c r="CL49" s="1"/>
      <c r="CM49" s="1"/>
      <c r="CN49" s="1"/>
      <c r="CO49" s="1"/>
      <c r="CP49" s="1"/>
      <c r="CQ49" s="1"/>
      <c r="CR49" s="1"/>
      <c r="CS49" s="1"/>
      <c r="CT49" s="1"/>
      <c r="CV49" s="1"/>
      <c r="CW49" s="1"/>
      <c r="CX49" s="1"/>
      <c r="CY49" s="1"/>
      <c r="CZ49" s="1"/>
      <c r="DA49" s="1"/>
    </row>
    <row r="50" spans="1:105" s="3" customFormat="1" ht="11.25" customHeight="1" x14ac:dyDescent="0.2">
      <c r="A50" s="1">
        <v>41</v>
      </c>
      <c r="B50" s="1" t="s">
        <v>912</v>
      </c>
      <c r="C50" s="1" t="s">
        <v>911</v>
      </c>
      <c r="D50" s="1">
        <v>4561</v>
      </c>
      <c r="E50" s="2" t="s">
        <v>4201</v>
      </c>
      <c r="F50" s="1" t="s">
        <v>113</v>
      </c>
      <c r="G50" s="1" t="s">
        <v>190</v>
      </c>
      <c r="H50" s="1" t="s">
        <v>313</v>
      </c>
      <c r="I50" s="1" t="s">
        <v>229</v>
      </c>
      <c r="J50" s="1" t="s">
        <v>229</v>
      </c>
      <c r="K50" s="1" t="s">
        <v>913</v>
      </c>
      <c r="L50" s="1" t="s">
        <v>111</v>
      </c>
      <c r="M50" s="1" t="s">
        <v>230</v>
      </c>
      <c r="N50" s="1" t="s">
        <v>151</v>
      </c>
      <c r="O50" s="1" t="s">
        <v>113</v>
      </c>
      <c r="P50" s="1" t="s">
        <v>113</v>
      </c>
      <c r="Q50" s="1" t="s">
        <v>111</v>
      </c>
      <c r="R50" s="1" t="s">
        <v>127</v>
      </c>
      <c r="S50" s="1" t="s">
        <v>127</v>
      </c>
      <c r="T50" s="1" t="s">
        <v>113</v>
      </c>
      <c r="U50" s="1" t="s">
        <v>127</v>
      </c>
      <c r="V50" s="1" t="s">
        <v>914</v>
      </c>
      <c r="W50" s="1" t="s">
        <v>115</v>
      </c>
      <c r="X50" s="1" t="s">
        <v>113</v>
      </c>
      <c r="Y50" s="1" t="s">
        <v>127</v>
      </c>
      <c r="Z50" s="1">
        <v>100</v>
      </c>
      <c r="AA50" s="1" t="s">
        <v>116</v>
      </c>
      <c r="AB50" s="1" t="s">
        <v>128</v>
      </c>
      <c r="AC50" s="1" t="s">
        <v>128</v>
      </c>
      <c r="AD50" s="1">
        <v>0</v>
      </c>
      <c r="AE50" s="1" t="s">
        <v>127</v>
      </c>
      <c r="AF50" s="1">
        <v>720</v>
      </c>
      <c r="AG50" s="1" t="s">
        <v>113</v>
      </c>
      <c r="AH50" s="1">
        <v>0</v>
      </c>
      <c r="AI50" s="1">
        <v>0</v>
      </c>
      <c r="AJ50" s="1">
        <v>0</v>
      </c>
      <c r="AK50" s="1" t="s">
        <v>200</v>
      </c>
      <c r="AL50" s="1">
        <v>0</v>
      </c>
      <c r="AM50" s="1" t="s">
        <v>127</v>
      </c>
      <c r="AN50" s="1">
        <v>0</v>
      </c>
      <c r="AO50" s="1" t="s">
        <v>113</v>
      </c>
      <c r="AP50" s="1" t="s">
        <v>113</v>
      </c>
      <c r="AQ50" s="1" t="s">
        <v>127</v>
      </c>
      <c r="AR50" s="1" t="s">
        <v>127</v>
      </c>
      <c r="AS50" s="1" t="s">
        <v>127</v>
      </c>
      <c r="AT50" s="1" t="s">
        <v>123</v>
      </c>
      <c r="AU50" s="1" t="s">
        <v>113</v>
      </c>
      <c r="AV50" s="1" t="s">
        <v>113</v>
      </c>
      <c r="AW50" s="1" t="s">
        <v>164</v>
      </c>
      <c r="AX50" s="1" t="s">
        <v>165</v>
      </c>
      <c r="AY50" s="1">
        <v>0</v>
      </c>
      <c r="AZ50" s="1" t="s">
        <v>113</v>
      </c>
      <c r="BA50" s="1" t="s">
        <v>113</v>
      </c>
      <c r="BB50" s="1" t="s">
        <v>125</v>
      </c>
      <c r="BC50" s="1" t="s">
        <v>166</v>
      </c>
      <c r="BD50" s="1">
        <v>0</v>
      </c>
      <c r="BE50" s="1">
        <v>100</v>
      </c>
      <c r="BF50" s="1" t="s">
        <v>167</v>
      </c>
      <c r="BG50" s="1" t="s">
        <v>116</v>
      </c>
      <c r="BH50" s="1" t="s">
        <v>168</v>
      </c>
      <c r="BI50" s="1" t="s">
        <v>569</v>
      </c>
      <c r="BJ50" s="1" t="s">
        <v>128</v>
      </c>
      <c r="BK50" s="1">
        <v>0</v>
      </c>
      <c r="BL50" s="1" t="s">
        <v>127</v>
      </c>
      <c r="BM50" s="1" t="s">
        <v>114</v>
      </c>
      <c r="BN50" s="1" t="s">
        <v>143</v>
      </c>
      <c r="BO50" s="1" t="s">
        <v>127</v>
      </c>
      <c r="BP50" s="1" t="s">
        <v>124</v>
      </c>
      <c r="BQ50" s="1" t="s">
        <v>913</v>
      </c>
      <c r="BR50" s="1" t="s">
        <v>915</v>
      </c>
      <c r="BS50" s="1" t="s">
        <v>916</v>
      </c>
      <c r="BT50" s="1" t="s">
        <v>172</v>
      </c>
      <c r="BU50" s="1" t="s">
        <v>239</v>
      </c>
      <c r="BV50" s="1" t="s">
        <v>917</v>
      </c>
      <c r="BW50" s="1" t="s">
        <v>134</v>
      </c>
      <c r="BX50" s="1" t="s">
        <v>127</v>
      </c>
      <c r="BY50" s="1" t="s">
        <v>299</v>
      </c>
      <c r="BZ50" s="1" t="s">
        <v>918</v>
      </c>
      <c r="CA50" s="1">
        <v>720</v>
      </c>
      <c r="CB50" s="1" t="s">
        <v>244</v>
      </c>
      <c r="CC50" s="1" t="s">
        <v>217</v>
      </c>
      <c r="CD50" s="1" t="s">
        <v>919</v>
      </c>
      <c r="CE50" s="1" t="s">
        <v>219</v>
      </c>
      <c r="CF50" s="1">
        <v>71375.91</v>
      </c>
      <c r="CG50" s="1">
        <v>134687.16</v>
      </c>
      <c r="CH50" s="1">
        <v>0</v>
      </c>
      <c r="CI50" s="1">
        <v>0</v>
      </c>
      <c r="CJ50" s="1">
        <v>134687.16</v>
      </c>
      <c r="CK50" s="1">
        <v>0</v>
      </c>
      <c r="CL50" s="1">
        <v>0</v>
      </c>
      <c r="CM50" s="1">
        <v>0</v>
      </c>
      <c r="CN50" s="1">
        <v>0</v>
      </c>
      <c r="CO50" s="1">
        <v>0</v>
      </c>
      <c r="CP50" s="1">
        <v>0</v>
      </c>
      <c r="CQ50" s="1">
        <v>0</v>
      </c>
      <c r="CR50" s="1" t="s">
        <v>139</v>
      </c>
      <c r="CS50" s="1" t="s">
        <v>308</v>
      </c>
      <c r="CT50" s="1" t="s">
        <v>157</v>
      </c>
      <c r="CV50" s="1" t="s">
        <v>920</v>
      </c>
      <c r="CW50" s="1" t="s">
        <v>251</v>
      </c>
      <c r="CX50" s="1" t="s">
        <v>157</v>
      </c>
      <c r="CY50" s="1" t="s">
        <v>143</v>
      </c>
      <c r="CZ50" s="1" t="s">
        <v>144</v>
      </c>
      <c r="DA50" s="1" t="s">
        <v>145</v>
      </c>
    </row>
    <row r="51" spans="1:105" s="3" customFormat="1" ht="11.25" customHeight="1" x14ac:dyDescent="0.2">
      <c r="A51" s="1">
        <v>41</v>
      </c>
      <c r="B51" s="1" t="s">
        <v>922</v>
      </c>
      <c r="C51" s="1" t="s">
        <v>921</v>
      </c>
      <c r="D51" s="1">
        <v>23430</v>
      </c>
      <c r="E51" s="2" t="s">
        <v>4201</v>
      </c>
      <c r="F51" s="1" t="s">
        <v>113</v>
      </c>
      <c r="G51" s="1" t="s">
        <v>398</v>
      </c>
      <c r="H51" s="1" t="s">
        <v>359</v>
      </c>
      <c r="I51" s="1" t="s">
        <v>923</v>
      </c>
      <c r="J51" s="1" t="s">
        <v>113</v>
      </c>
      <c r="L51" s="1" t="s">
        <v>149</v>
      </c>
      <c r="M51" s="1" t="s">
        <v>924</v>
      </c>
      <c r="N51" s="1" t="s">
        <v>684</v>
      </c>
      <c r="O51" s="1" t="s">
        <v>113</v>
      </c>
      <c r="P51" s="1" t="s">
        <v>113</v>
      </c>
      <c r="Q51" s="1" t="s">
        <v>195</v>
      </c>
      <c r="R51" s="1" t="s">
        <v>925</v>
      </c>
      <c r="S51" s="1" t="s">
        <v>157</v>
      </c>
      <c r="T51" s="1" t="s">
        <v>106</v>
      </c>
      <c r="U51" s="1" t="s">
        <v>926</v>
      </c>
      <c r="V51" s="1" t="s">
        <v>927</v>
      </c>
      <c r="W51" s="1" t="s">
        <v>199</v>
      </c>
      <c r="X51" s="1" t="s">
        <v>106</v>
      </c>
      <c r="Y51" s="1" t="s">
        <v>928</v>
      </c>
      <c r="Z51" s="1">
        <v>100</v>
      </c>
      <c r="AA51" s="1" t="s">
        <v>132</v>
      </c>
      <c r="AB51" s="1" t="s">
        <v>128</v>
      </c>
      <c r="AC51" s="1" t="s">
        <v>128</v>
      </c>
      <c r="AD51" s="1">
        <v>0</v>
      </c>
      <c r="AE51" s="1" t="s">
        <v>132</v>
      </c>
      <c r="AF51" s="1">
        <v>88752</v>
      </c>
      <c r="AG51" s="1" t="s">
        <v>113</v>
      </c>
      <c r="AH51" s="1">
        <v>0</v>
      </c>
      <c r="AI51" s="1">
        <v>0</v>
      </c>
      <c r="AJ51" s="1">
        <v>0</v>
      </c>
      <c r="AK51" s="1" t="s">
        <v>758</v>
      </c>
      <c r="AL51" s="1">
        <v>300</v>
      </c>
      <c r="AM51" s="1" t="s">
        <v>131</v>
      </c>
      <c r="AN51" s="1">
        <v>300</v>
      </c>
      <c r="AO51" s="1" t="s">
        <v>113</v>
      </c>
      <c r="AP51" s="1" t="s">
        <v>113</v>
      </c>
      <c r="AQ51" s="1" t="s">
        <v>157</v>
      </c>
      <c r="AR51" s="1" t="s">
        <v>157</v>
      </c>
      <c r="AS51" s="1" t="s">
        <v>157</v>
      </c>
      <c r="AT51" s="1" t="s">
        <v>204</v>
      </c>
      <c r="AU51" s="1" t="s">
        <v>113</v>
      </c>
      <c r="AV51" s="1" t="s">
        <v>113</v>
      </c>
      <c r="AW51" s="1" t="s">
        <v>234</v>
      </c>
      <c r="AX51" s="1" t="s">
        <v>206</v>
      </c>
      <c r="AY51" s="1">
        <v>1200</v>
      </c>
      <c r="AZ51" s="1" t="s">
        <v>113</v>
      </c>
      <c r="BA51" s="1" t="s">
        <v>106</v>
      </c>
      <c r="BB51" s="1" t="s">
        <v>125</v>
      </c>
      <c r="BC51" s="1" t="s">
        <v>166</v>
      </c>
      <c r="BD51" s="1">
        <v>0</v>
      </c>
      <c r="BE51" s="1">
        <v>100</v>
      </c>
      <c r="BF51" s="1" t="s">
        <v>630</v>
      </c>
      <c r="BG51" s="1" t="s">
        <v>268</v>
      </c>
      <c r="BH51" s="1" t="s">
        <v>569</v>
      </c>
      <c r="BI51" s="1" t="s">
        <v>569</v>
      </c>
      <c r="BJ51" s="1" t="s">
        <v>208</v>
      </c>
      <c r="BK51" s="1">
        <v>80</v>
      </c>
      <c r="BL51" s="1" t="s">
        <v>270</v>
      </c>
      <c r="BM51" s="1" t="s">
        <v>271</v>
      </c>
      <c r="BN51" s="1">
        <v>19</v>
      </c>
      <c r="BO51" s="1">
        <v>1</v>
      </c>
      <c r="BP51" s="1" t="s">
        <v>115</v>
      </c>
      <c r="BQ51" s="1" t="s">
        <v>929</v>
      </c>
      <c r="BR51" s="1" t="s">
        <v>930</v>
      </c>
      <c r="BS51" s="1" t="s">
        <v>931</v>
      </c>
      <c r="BT51" s="1" t="s">
        <v>172</v>
      </c>
      <c r="BU51" s="1" t="s">
        <v>132</v>
      </c>
      <c r="BV51" s="1" t="s">
        <v>932</v>
      </c>
      <c r="BW51" s="1" t="s">
        <v>298</v>
      </c>
      <c r="BX51" s="1" t="s">
        <v>325</v>
      </c>
      <c r="BY51" s="1" t="s">
        <v>299</v>
      </c>
      <c r="BZ51" s="1" t="s">
        <v>933</v>
      </c>
      <c r="CA51" s="1">
        <v>600</v>
      </c>
      <c r="CB51" s="1" t="s">
        <v>137</v>
      </c>
      <c r="CC51" s="1" t="s">
        <v>138</v>
      </c>
      <c r="CD51" s="1" t="s">
        <v>157</v>
      </c>
      <c r="CE51" s="1" t="s">
        <v>179</v>
      </c>
      <c r="CF51" s="1">
        <v>0</v>
      </c>
      <c r="CG51" s="1">
        <v>0</v>
      </c>
      <c r="CH51" s="1">
        <v>0</v>
      </c>
      <c r="CI51" s="1">
        <v>0</v>
      </c>
      <c r="CJ51" s="1">
        <v>0</v>
      </c>
      <c r="CK51" s="1">
        <v>0</v>
      </c>
      <c r="CL51" s="1">
        <v>0</v>
      </c>
      <c r="CM51" s="1">
        <v>0</v>
      </c>
      <c r="CN51" s="1">
        <v>0</v>
      </c>
      <c r="CO51" s="1">
        <v>0</v>
      </c>
      <c r="CP51" s="1">
        <v>0</v>
      </c>
      <c r="CQ51" s="1">
        <v>0</v>
      </c>
      <c r="CR51" s="1" t="s">
        <v>418</v>
      </c>
      <c r="CS51" s="1" t="s">
        <v>140</v>
      </c>
      <c r="CT51" s="1" t="s">
        <v>934</v>
      </c>
      <c r="CU51" s="1" t="s">
        <v>617</v>
      </c>
      <c r="CV51" s="1" t="s">
        <v>935</v>
      </c>
      <c r="CW51" s="1" t="s">
        <v>184</v>
      </c>
      <c r="CX51" s="1" t="s">
        <v>157</v>
      </c>
      <c r="CY51" s="1" t="s">
        <v>143</v>
      </c>
      <c r="CZ51" s="1" t="s">
        <v>144</v>
      </c>
      <c r="DA51" s="1" t="s">
        <v>145</v>
      </c>
    </row>
    <row r="52" spans="1:105" s="3" customFormat="1" ht="11.25" customHeight="1" x14ac:dyDescent="0.2">
      <c r="A52" s="1">
        <v>41</v>
      </c>
      <c r="B52" s="1" t="s">
        <v>936</v>
      </c>
      <c r="C52" s="1" t="s">
        <v>937</v>
      </c>
      <c r="D52" s="1">
        <v>3573</v>
      </c>
      <c r="E52" s="2" t="s">
        <v>1688</v>
      </c>
      <c r="F52" s="1"/>
      <c r="G52" s="1"/>
      <c r="H52" s="1"/>
      <c r="I52" s="1"/>
      <c r="J52" s="1"/>
      <c r="K52" s="1"/>
      <c r="L52" s="1"/>
      <c r="M52" s="1"/>
      <c r="N52" s="1"/>
      <c r="O52" s="1"/>
      <c r="P52" s="1"/>
      <c r="Q52" s="1"/>
      <c r="R52" s="1"/>
      <c r="S52" s="1"/>
      <c r="T52" s="1"/>
      <c r="U52" s="1"/>
      <c r="V52" s="1"/>
      <c r="W52" s="1"/>
      <c r="X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s="3" customFormat="1" ht="11.25" customHeight="1" x14ac:dyDescent="0.2">
      <c r="A53" s="1">
        <v>41</v>
      </c>
      <c r="B53" s="1" t="s">
        <v>939</v>
      </c>
      <c r="C53" s="1" t="s">
        <v>938</v>
      </c>
      <c r="D53" s="1">
        <v>111009</v>
      </c>
      <c r="E53" s="2" t="s">
        <v>4201</v>
      </c>
      <c r="F53" s="1" t="s">
        <v>113</v>
      </c>
      <c r="G53" s="1" t="s">
        <v>190</v>
      </c>
      <c r="H53" s="1" t="s">
        <v>564</v>
      </c>
      <c r="I53" s="1" t="s">
        <v>229</v>
      </c>
      <c r="J53" s="1" t="s">
        <v>229</v>
      </c>
      <c r="L53" s="1" t="s">
        <v>111</v>
      </c>
      <c r="M53" s="1" t="s">
        <v>115</v>
      </c>
      <c r="N53" s="1" t="s">
        <v>940</v>
      </c>
      <c r="O53" s="1" t="s">
        <v>106</v>
      </c>
      <c r="P53" s="1" t="s">
        <v>113</v>
      </c>
      <c r="Q53" s="1" t="s">
        <v>258</v>
      </c>
      <c r="R53" s="1" t="s">
        <v>941</v>
      </c>
      <c r="S53" s="1" t="s">
        <v>942</v>
      </c>
      <c r="T53" s="1" t="s">
        <v>106</v>
      </c>
      <c r="U53" s="1" t="s">
        <v>943</v>
      </c>
      <c r="V53" s="1" t="s">
        <v>647</v>
      </c>
      <c r="W53" s="1" t="s">
        <v>115</v>
      </c>
      <c r="X53" s="1" t="s">
        <v>106</v>
      </c>
      <c r="Y53" s="1" t="s">
        <v>564</v>
      </c>
      <c r="Z53" s="1">
        <v>100</v>
      </c>
      <c r="AA53" s="1" t="s">
        <v>132</v>
      </c>
      <c r="AB53" s="1" t="s">
        <v>128</v>
      </c>
      <c r="AC53" s="1" t="s">
        <v>128</v>
      </c>
      <c r="AD53" s="1">
        <v>0</v>
      </c>
      <c r="AE53" s="1" t="s">
        <v>944</v>
      </c>
      <c r="AF53" s="1" t="s">
        <v>945</v>
      </c>
      <c r="AG53" s="1" t="s">
        <v>113</v>
      </c>
      <c r="AH53" s="1">
        <v>0</v>
      </c>
      <c r="AI53" s="1">
        <v>0</v>
      </c>
      <c r="AJ53" s="1">
        <v>0</v>
      </c>
      <c r="AK53" s="1" t="s">
        <v>626</v>
      </c>
      <c r="AL53" s="1">
        <v>4800</v>
      </c>
      <c r="AM53" s="1" t="s">
        <v>131</v>
      </c>
      <c r="AN53" s="1">
        <v>0</v>
      </c>
      <c r="AO53" s="1" t="s">
        <v>113</v>
      </c>
      <c r="AP53" s="1" t="s">
        <v>113</v>
      </c>
      <c r="AQ53" s="1" t="s">
        <v>564</v>
      </c>
      <c r="AR53" s="1" t="s">
        <v>564</v>
      </c>
      <c r="AS53" s="1" t="s">
        <v>564</v>
      </c>
      <c r="AT53" s="1" t="s">
        <v>204</v>
      </c>
      <c r="AU53" s="1" t="s">
        <v>106</v>
      </c>
      <c r="AV53" s="1" t="s">
        <v>113</v>
      </c>
      <c r="AW53" s="1" t="s">
        <v>234</v>
      </c>
      <c r="AX53" s="1" t="s">
        <v>946</v>
      </c>
      <c r="AY53" s="1">
        <v>3330</v>
      </c>
      <c r="AZ53" s="1" t="s">
        <v>113</v>
      </c>
      <c r="BA53" s="1" t="s">
        <v>113</v>
      </c>
      <c r="BB53" s="1" t="s">
        <v>125</v>
      </c>
      <c r="BD53" s="1">
        <v>0</v>
      </c>
      <c r="BE53" s="1">
        <v>63</v>
      </c>
      <c r="BF53" s="1" t="s">
        <v>167</v>
      </c>
      <c r="BG53" s="1" t="s">
        <v>268</v>
      </c>
      <c r="BH53" s="1" t="s">
        <v>269</v>
      </c>
      <c r="BI53" s="1" t="s">
        <v>269</v>
      </c>
      <c r="BJ53" s="1" t="s">
        <v>128</v>
      </c>
      <c r="BK53" s="1">
        <v>0</v>
      </c>
      <c r="BL53" s="1" t="s">
        <v>127</v>
      </c>
      <c r="BM53" s="1" t="s">
        <v>114</v>
      </c>
      <c r="BN53" s="1">
        <v>38</v>
      </c>
      <c r="BO53" s="1">
        <v>0</v>
      </c>
      <c r="BP53" s="1" t="s">
        <v>947</v>
      </c>
      <c r="BQ53" s="1" t="s">
        <v>948</v>
      </c>
      <c r="BR53" s="1" t="s">
        <v>949</v>
      </c>
      <c r="BS53" s="1" t="s">
        <v>950</v>
      </c>
      <c r="BT53" s="1" t="s">
        <v>131</v>
      </c>
      <c r="BU53" s="1" t="s">
        <v>239</v>
      </c>
      <c r="BV53" s="1" t="s">
        <v>951</v>
      </c>
      <c r="BW53" s="1" t="s">
        <v>134</v>
      </c>
      <c r="BX53" s="1" t="s">
        <v>948</v>
      </c>
      <c r="BY53" s="1" t="s">
        <v>135</v>
      </c>
      <c r="BZ53" s="1" t="s">
        <v>952</v>
      </c>
      <c r="CA53" s="1" t="s">
        <v>945</v>
      </c>
      <c r="CB53" s="1" t="s">
        <v>244</v>
      </c>
      <c r="CC53" s="1" t="s">
        <v>496</v>
      </c>
      <c r="CD53" s="1" t="s">
        <v>953</v>
      </c>
      <c r="CE53" s="1" t="s">
        <v>478</v>
      </c>
      <c r="CF53" s="1" t="s">
        <v>954</v>
      </c>
      <c r="CG53" s="1" t="s">
        <v>955</v>
      </c>
      <c r="CH53" s="1" t="s">
        <v>956</v>
      </c>
      <c r="CI53" s="1">
        <v>0</v>
      </c>
      <c r="CJ53" s="1" t="s">
        <v>957</v>
      </c>
      <c r="CK53" s="1" t="s">
        <v>958</v>
      </c>
      <c r="CL53" s="1">
        <v>0</v>
      </c>
      <c r="CM53" s="1">
        <v>0</v>
      </c>
      <c r="CN53" s="1" t="s">
        <v>959</v>
      </c>
      <c r="CO53" s="1">
        <v>0</v>
      </c>
      <c r="CP53" s="1">
        <v>0</v>
      </c>
      <c r="CQ53" s="1">
        <v>0</v>
      </c>
      <c r="CR53" s="1" t="s">
        <v>139</v>
      </c>
      <c r="CS53" s="1" t="s">
        <v>140</v>
      </c>
      <c r="CT53" s="1" t="s">
        <v>746</v>
      </c>
      <c r="CV53" s="1" t="s">
        <v>960</v>
      </c>
      <c r="CW53" s="1" t="s">
        <v>284</v>
      </c>
      <c r="CX53" s="1" t="s">
        <v>961</v>
      </c>
      <c r="CY53" s="1" t="s">
        <v>143</v>
      </c>
      <c r="CZ53" s="1" t="s">
        <v>144</v>
      </c>
      <c r="DA53" s="1" t="s">
        <v>145</v>
      </c>
    </row>
    <row r="54" spans="1:105" s="3" customFormat="1" ht="11.25" customHeight="1" x14ac:dyDescent="0.2">
      <c r="A54" s="1">
        <v>41</v>
      </c>
      <c r="B54" s="1" t="s">
        <v>963</v>
      </c>
      <c r="C54" s="1" t="s">
        <v>962</v>
      </c>
      <c r="D54" s="1">
        <v>9899</v>
      </c>
      <c r="E54" s="2" t="s">
        <v>4201</v>
      </c>
      <c r="F54" s="1" t="s">
        <v>113</v>
      </c>
      <c r="G54" s="1" t="s">
        <v>190</v>
      </c>
      <c r="H54" s="1" t="s">
        <v>964</v>
      </c>
      <c r="I54" s="1" t="s">
        <v>229</v>
      </c>
      <c r="J54" s="1" t="s">
        <v>229</v>
      </c>
      <c r="L54" s="1" t="s">
        <v>111</v>
      </c>
      <c r="M54" s="1" t="s">
        <v>111</v>
      </c>
      <c r="N54" s="1" t="s">
        <v>112</v>
      </c>
      <c r="O54" s="1" t="s">
        <v>106</v>
      </c>
      <c r="P54" s="1" t="s">
        <v>113</v>
      </c>
      <c r="Q54" s="1" t="s">
        <v>152</v>
      </c>
      <c r="R54" s="1" t="s">
        <v>564</v>
      </c>
      <c r="S54" s="1" t="s">
        <v>965</v>
      </c>
      <c r="T54" s="1" t="s">
        <v>106</v>
      </c>
      <c r="U54" s="1">
        <v>2012</v>
      </c>
      <c r="W54" s="1" t="s">
        <v>115</v>
      </c>
      <c r="X54" s="1" t="s">
        <v>113</v>
      </c>
      <c r="Y54" s="1" t="s">
        <v>564</v>
      </c>
      <c r="Z54" s="1">
        <v>100</v>
      </c>
      <c r="AA54" s="1" t="s">
        <v>116</v>
      </c>
      <c r="AB54" s="1" t="s">
        <v>128</v>
      </c>
      <c r="AC54" s="1" t="s">
        <v>128</v>
      </c>
      <c r="AD54" s="1">
        <v>0</v>
      </c>
      <c r="AE54" s="1" t="s">
        <v>966</v>
      </c>
      <c r="AF54" s="1">
        <v>1600</v>
      </c>
      <c r="AG54" s="1" t="s">
        <v>113</v>
      </c>
      <c r="AH54" s="1">
        <v>0</v>
      </c>
      <c r="AI54" s="1">
        <v>0</v>
      </c>
      <c r="AJ54" s="1">
        <v>0</v>
      </c>
      <c r="AK54" s="1" t="s">
        <v>449</v>
      </c>
      <c r="AM54" s="1" t="s">
        <v>967</v>
      </c>
      <c r="AO54" s="1" t="s">
        <v>113</v>
      </c>
      <c r="AP54" s="1" t="s">
        <v>113</v>
      </c>
      <c r="AQ54" s="1" t="s">
        <v>968</v>
      </c>
      <c r="AR54" s="1" t="s">
        <v>968</v>
      </c>
      <c r="AS54" s="1" t="s">
        <v>968</v>
      </c>
      <c r="AT54" s="1" t="s">
        <v>123</v>
      </c>
      <c r="AU54" s="1" t="s">
        <v>113</v>
      </c>
      <c r="AV54" s="1" t="s">
        <v>113</v>
      </c>
      <c r="AW54" s="1" t="s">
        <v>164</v>
      </c>
      <c r="AX54" s="1" t="s">
        <v>165</v>
      </c>
      <c r="AY54" s="1">
        <v>0</v>
      </c>
      <c r="AZ54" s="1" t="s">
        <v>113</v>
      </c>
      <c r="BA54" s="1" t="s">
        <v>113</v>
      </c>
      <c r="BB54" s="1" t="s">
        <v>125</v>
      </c>
      <c r="BD54" s="1">
        <v>0</v>
      </c>
      <c r="BE54" s="1">
        <v>100</v>
      </c>
      <c r="BF54" s="1" t="s">
        <v>167</v>
      </c>
      <c r="BG54" s="1" t="s">
        <v>268</v>
      </c>
      <c r="BJ54" s="1" t="s">
        <v>128</v>
      </c>
      <c r="BK54" s="1">
        <v>0</v>
      </c>
      <c r="BL54" s="1" t="s">
        <v>127</v>
      </c>
      <c r="BM54" s="1" t="s">
        <v>114</v>
      </c>
      <c r="BN54" s="1" t="s">
        <v>143</v>
      </c>
      <c r="BP54" s="1" t="s">
        <v>115</v>
      </c>
      <c r="BQ54" s="1" t="s">
        <v>969</v>
      </c>
      <c r="BR54" s="1" t="s">
        <v>970</v>
      </c>
      <c r="BS54" s="1" t="s">
        <v>971</v>
      </c>
      <c r="BT54" s="1" t="s">
        <v>172</v>
      </c>
      <c r="BU54" s="1" t="s">
        <v>132</v>
      </c>
      <c r="BV54" s="1" t="s">
        <v>494</v>
      </c>
      <c r="BW54" s="1" t="s">
        <v>134</v>
      </c>
      <c r="BX54" s="1" t="s">
        <v>134</v>
      </c>
      <c r="BY54" s="1" t="s">
        <v>135</v>
      </c>
      <c r="BZ54" s="1" t="s">
        <v>972</v>
      </c>
      <c r="CA54" s="1">
        <v>1600</v>
      </c>
      <c r="CB54" s="1" t="s">
        <v>244</v>
      </c>
      <c r="CC54" s="1" t="s">
        <v>217</v>
      </c>
      <c r="CF54" s="1">
        <v>173407.35</v>
      </c>
      <c r="CG54" s="1">
        <v>471138.32</v>
      </c>
      <c r="CH54" s="1">
        <v>120.08</v>
      </c>
      <c r="CI54" s="1" t="s">
        <v>973</v>
      </c>
      <c r="CJ54" s="1">
        <v>174.38</v>
      </c>
      <c r="CK54" s="1">
        <v>159.86000000000001</v>
      </c>
      <c r="CL54" s="1">
        <v>0</v>
      </c>
      <c r="CM54" s="1" t="s">
        <v>974</v>
      </c>
      <c r="CN54" s="1">
        <v>0</v>
      </c>
      <c r="CO54" s="1">
        <v>0</v>
      </c>
      <c r="CP54" s="1">
        <v>0</v>
      </c>
      <c r="CQ54" s="1">
        <v>0</v>
      </c>
      <c r="CR54" s="1" t="s">
        <v>139</v>
      </c>
      <c r="CS54" s="1" t="s">
        <v>140</v>
      </c>
      <c r="CT54" s="1" t="s">
        <v>589</v>
      </c>
      <c r="CW54" s="1" t="s">
        <v>141</v>
      </c>
      <c r="CX54" s="1" t="s">
        <v>975</v>
      </c>
      <c r="CY54" s="1" t="s">
        <v>976</v>
      </c>
    </row>
    <row r="55" spans="1:105" s="3" customFormat="1" ht="11.25" customHeight="1" x14ac:dyDescent="0.2">
      <c r="A55" s="1">
        <v>41</v>
      </c>
      <c r="B55" s="1" t="s">
        <v>978</v>
      </c>
      <c r="C55" s="1" t="s">
        <v>977</v>
      </c>
      <c r="D55" s="1">
        <v>3973</v>
      </c>
      <c r="E55" s="2" t="s">
        <v>4201</v>
      </c>
      <c r="F55" s="1" t="s">
        <v>113</v>
      </c>
      <c r="G55" s="1" t="s">
        <v>190</v>
      </c>
      <c r="H55" s="1" t="s">
        <v>332</v>
      </c>
      <c r="I55" s="1" t="s">
        <v>229</v>
      </c>
      <c r="J55" s="1" t="s">
        <v>229</v>
      </c>
      <c r="L55" s="1" t="s">
        <v>111</v>
      </c>
      <c r="M55" s="1" t="s">
        <v>111</v>
      </c>
      <c r="N55" s="1" t="s">
        <v>112</v>
      </c>
      <c r="O55" s="1" t="s">
        <v>106</v>
      </c>
      <c r="P55" s="1" t="s">
        <v>113</v>
      </c>
      <c r="Q55" s="1" t="s">
        <v>195</v>
      </c>
      <c r="R55" s="1" t="s">
        <v>979</v>
      </c>
      <c r="S55" s="1" t="s">
        <v>114</v>
      </c>
      <c r="T55" s="1" t="s">
        <v>113</v>
      </c>
      <c r="U55" s="1" t="s">
        <v>114</v>
      </c>
      <c r="W55" s="1" t="s">
        <v>115</v>
      </c>
      <c r="X55" s="1" t="s">
        <v>113</v>
      </c>
      <c r="Y55" s="1" t="s">
        <v>114</v>
      </c>
      <c r="Z55" s="1">
        <v>100</v>
      </c>
      <c r="AA55" s="1" t="s">
        <v>116</v>
      </c>
      <c r="AB55" s="1" t="s">
        <v>128</v>
      </c>
      <c r="AC55" s="1" t="s">
        <v>118</v>
      </c>
      <c r="AD55" s="1">
        <v>50</v>
      </c>
      <c r="AE55" s="1" t="s">
        <v>116</v>
      </c>
      <c r="AF55" s="1">
        <v>35022</v>
      </c>
      <c r="AG55" s="1" t="s">
        <v>113</v>
      </c>
      <c r="AH55" s="1">
        <v>0</v>
      </c>
      <c r="AI55" s="1">
        <v>0</v>
      </c>
      <c r="AJ55" s="1">
        <v>0</v>
      </c>
      <c r="AK55" s="1" t="s">
        <v>232</v>
      </c>
      <c r="AL55" s="1">
        <v>0</v>
      </c>
      <c r="AM55" s="1" t="s">
        <v>980</v>
      </c>
      <c r="AN55" s="1">
        <v>0</v>
      </c>
      <c r="AO55" s="1" t="s">
        <v>113</v>
      </c>
      <c r="AP55" s="1" t="s">
        <v>106</v>
      </c>
      <c r="AQ55" s="1" t="s">
        <v>981</v>
      </c>
      <c r="AR55" s="1" t="s">
        <v>982</v>
      </c>
      <c r="AS55" s="1" t="s">
        <v>983</v>
      </c>
      <c r="AT55" s="1" t="s">
        <v>123</v>
      </c>
      <c r="AU55" s="1" t="s">
        <v>113</v>
      </c>
      <c r="AV55" s="1" t="s">
        <v>113</v>
      </c>
      <c r="AW55" s="1" t="s">
        <v>164</v>
      </c>
      <c r="AY55" s="1">
        <v>0</v>
      </c>
      <c r="AZ55" s="1" t="s">
        <v>113</v>
      </c>
      <c r="BA55" s="1" t="s">
        <v>113</v>
      </c>
      <c r="BB55" s="1" t="s">
        <v>125</v>
      </c>
      <c r="BD55" s="1">
        <v>0</v>
      </c>
      <c r="BE55" s="1">
        <v>0</v>
      </c>
      <c r="BF55" s="1" t="s">
        <v>127</v>
      </c>
      <c r="BG55" s="1" t="s">
        <v>127</v>
      </c>
      <c r="BJ55" s="1" t="s">
        <v>128</v>
      </c>
      <c r="BK55" s="1">
        <v>0</v>
      </c>
      <c r="BL55" s="1" t="s">
        <v>127</v>
      </c>
      <c r="BM55" s="1" t="s">
        <v>114</v>
      </c>
      <c r="BN55" s="1" t="s">
        <v>143</v>
      </c>
      <c r="BP55" s="1" t="s">
        <v>115</v>
      </c>
      <c r="BQ55" s="1" t="s">
        <v>984</v>
      </c>
      <c r="BR55" s="1" t="s">
        <v>985</v>
      </c>
      <c r="BS55" s="1" t="s">
        <v>986</v>
      </c>
      <c r="BT55" s="1" t="s">
        <v>131</v>
      </c>
      <c r="BU55" s="1" t="s">
        <v>132</v>
      </c>
      <c r="BV55" s="1" t="s">
        <v>987</v>
      </c>
      <c r="BW55" s="1" t="s">
        <v>134</v>
      </c>
      <c r="BX55" s="1" t="s">
        <v>157</v>
      </c>
      <c r="BY55" s="1" t="s">
        <v>135</v>
      </c>
      <c r="BZ55" s="1" t="s">
        <v>157</v>
      </c>
      <c r="CA55" s="1">
        <v>35022</v>
      </c>
      <c r="CB55" s="1" t="s">
        <v>137</v>
      </c>
      <c r="CC55" s="1" t="s">
        <v>138</v>
      </c>
      <c r="CF55" s="1">
        <v>0</v>
      </c>
      <c r="CG55" s="1">
        <v>28700993</v>
      </c>
      <c r="CH55" s="1">
        <v>15858752</v>
      </c>
      <c r="CI55" s="1">
        <v>0</v>
      </c>
      <c r="CJ55" s="1">
        <v>12842241</v>
      </c>
      <c r="CK55" s="1">
        <v>0</v>
      </c>
      <c r="CL55" s="1">
        <v>0</v>
      </c>
      <c r="CM55" s="1">
        <v>0</v>
      </c>
      <c r="CN55" s="1">
        <v>0</v>
      </c>
      <c r="CO55" s="1">
        <v>0</v>
      </c>
      <c r="CP55" s="1">
        <v>0</v>
      </c>
      <c r="CQ55" s="1">
        <v>0</v>
      </c>
      <c r="CR55" s="1" t="s">
        <v>139</v>
      </c>
      <c r="CS55" s="1" t="s">
        <v>308</v>
      </c>
      <c r="CT55" s="1" t="s">
        <v>394</v>
      </c>
      <c r="CW55" s="1" t="s">
        <v>184</v>
      </c>
      <c r="CX55" s="1" t="s">
        <v>988</v>
      </c>
      <c r="CY55" s="1" t="s">
        <v>143</v>
      </c>
      <c r="CZ55" s="1" t="s">
        <v>144</v>
      </c>
    </row>
    <row r="56" spans="1:105" s="3" customFormat="1" ht="11.25" customHeight="1" x14ac:dyDescent="0.2">
      <c r="A56" s="1">
        <v>41</v>
      </c>
      <c r="B56" s="1" t="s">
        <v>989</v>
      </c>
      <c r="C56" s="1" t="s">
        <v>990</v>
      </c>
      <c r="D56" s="1">
        <v>3751</v>
      </c>
      <c r="E56" s="2" t="s">
        <v>1688</v>
      </c>
      <c r="F56" s="1"/>
      <c r="G56" s="1"/>
      <c r="H56" s="1"/>
      <c r="I56" s="1"/>
      <c r="J56" s="1"/>
      <c r="K56" s="1"/>
      <c r="L56" s="1"/>
      <c r="M56" s="1"/>
      <c r="N56" s="1"/>
      <c r="O56" s="1"/>
      <c r="P56" s="1"/>
      <c r="Q56" s="1"/>
      <c r="R56" s="1"/>
      <c r="S56" s="1"/>
      <c r="T56" s="1"/>
      <c r="U56" s="1"/>
      <c r="V56" s="1"/>
      <c r="W56" s="1"/>
      <c r="X56" s="1"/>
      <c r="Y56" s="1"/>
      <c r="Z56" s="1"/>
      <c r="AA56" s="1"/>
      <c r="AB56" s="1"/>
      <c r="AC56" s="1"/>
      <c r="AD56" s="5"/>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F56" s="1"/>
      <c r="CG56" s="6"/>
      <c r="CH56" s="1"/>
      <c r="CI56" s="1"/>
      <c r="CJ56" s="1"/>
      <c r="CK56" s="1"/>
      <c r="CL56" s="1"/>
      <c r="CM56" s="1"/>
      <c r="CN56" s="1"/>
      <c r="CO56" s="1"/>
      <c r="CP56" s="1"/>
      <c r="CQ56" s="1"/>
      <c r="CR56" s="1"/>
      <c r="CS56" s="1"/>
      <c r="CT56" s="1"/>
      <c r="CW56" s="1"/>
      <c r="CX56" s="1"/>
      <c r="CY56" s="1"/>
      <c r="CZ56" s="1"/>
      <c r="DA56" s="1"/>
    </row>
    <row r="57" spans="1:105" s="3" customFormat="1" ht="11.25" customHeight="1" x14ac:dyDescent="0.2">
      <c r="A57" s="1">
        <v>41</v>
      </c>
      <c r="B57" s="1" t="s">
        <v>991</v>
      </c>
      <c r="C57" s="1" t="s">
        <v>992</v>
      </c>
      <c r="D57" s="1">
        <v>3780</v>
      </c>
      <c r="E57" s="2" t="s">
        <v>1688</v>
      </c>
      <c r="F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4"/>
      <c r="CB57" s="1"/>
      <c r="CC57" s="1"/>
      <c r="CD57" s="1"/>
      <c r="CE57" s="1"/>
      <c r="CF57" s="6"/>
      <c r="CG57" s="6"/>
      <c r="CH57" s="1"/>
      <c r="CI57" s="1"/>
      <c r="CJ57" s="1"/>
      <c r="CK57" s="1"/>
      <c r="CL57" s="1"/>
      <c r="CM57" s="1"/>
      <c r="CN57" s="1"/>
      <c r="CO57" s="1"/>
      <c r="CP57" s="1"/>
      <c r="CQ57" s="1"/>
      <c r="CR57" s="1"/>
      <c r="CS57" s="1"/>
      <c r="CT57" s="1"/>
      <c r="CV57" s="1"/>
      <c r="CW57" s="1"/>
      <c r="CX57" s="1"/>
      <c r="CY57" s="1"/>
      <c r="CZ57" s="1"/>
      <c r="DA57" s="1"/>
    </row>
    <row r="58" spans="1:105" s="3" customFormat="1" ht="11.25" customHeight="1" x14ac:dyDescent="0.2">
      <c r="A58" s="1">
        <v>41</v>
      </c>
      <c r="B58" s="1" t="s">
        <v>994</v>
      </c>
      <c r="C58" s="1" t="s">
        <v>993</v>
      </c>
      <c r="D58" s="1">
        <v>49971</v>
      </c>
      <c r="E58" s="2" t="s">
        <v>4201</v>
      </c>
      <c r="F58" s="1" t="s">
        <v>106</v>
      </c>
      <c r="G58" s="1" t="s">
        <v>107</v>
      </c>
      <c r="H58" s="1" t="s">
        <v>995</v>
      </c>
      <c r="I58" s="1" t="s">
        <v>109</v>
      </c>
      <c r="J58" s="1" t="s">
        <v>106</v>
      </c>
      <c r="K58" s="1" t="s">
        <v>996</v>
      </c>
      <c r="L58" s="1" t="s">
        <v>111</v>
      </c>
      <c r="M58" s="1" t="s">
        <v>997</v>
      </c>
      <c r="N58" s="1" t="s">
        <v>998</v>
      </c>
      <c r="O58" s="1" t="s">
        <v>106</v>
      </c>
      <c r="P58" s="1" t="s">
        <v>113</v>
      </c>
      <c r="Q58" s="1" t="s">
        <v>152</v>
      </c>
      <c r="R58" s="1" t="s">
        <v>114</v>
      </c>
      <c r="S58" s="1" t="s">
        <v>999</v>
      </c>
      <c r="T58" s="1" t="s">
        <v>106</v>
      </c>
      <c r="U58" s="1" t="s">
        <v>1000</v>
      </c>
      <c r="V58" s="1" t="s">
        <v>1001</v>
      </c>
      <c r="W58" s="1" t="s">
        <v>115</v>
      </c>
      <c r="X58" s="1" t="s">
        <v>113</v>
      </c>
      <c r="Y58" s="1" t="s">
        <v>564</v>
      </c>
      <c r="Z58" s="1">
        <v>100</v>
      </c>
      <c r="AA58" s="1" t="s">
        <v>116</v>
      </c>
      <c r="AB58" s="1" t="s">
        <v>128</v>
      </c>
      <c r="AC58" s="1" t="s">
        <v>384</v>
      </c>
      <c r="AD58" s="1">
        <v>100</v>
      </c>
      <c r="AE58" s="1" t="s">
        <v>116</v>
      </c>
      <c r="AF58" s="4">
        <v>10130</v>
      </c>
      <c r="AG58" s="1" t="s">
        <v>106</v>
      </c>
      <c r="AH58" s="1">
        <v>31</v>
      </c>
      <c r="AI58" s="1">
        <v>47</v>
      </c>
      <c r="AJ58" s="1">
        <v>22</v>
      </c>
      <c r="AK58" s="1" t="s">
        <v>1002</v>
      </c>
      <c r="AL58" s="1">
        <v>12420</v>
      </c>
      <c r="AM58" s="1" t="s">
        <v>131</v>
      </c>
      <c r="AN58" s="1">
        <v>0</v>
      </c>
      <c r="AO58" s="1" t="s">
        <v>113</v>
      </c>
      <c r="AP58" s="1" t="s">
        <v>106</v>
      </c>
      <c r="AQ58" s="1" t="s">
        <v>114</v>
      </c>
      <c r="AR58" s="1" t="s">
        <v>1003</v>
      </c>
      <c r="AS58" s="1" t="s">
        <v>1004</v>
      </c>
      <c r="AT58" s="1" t="s">
        <v>123</v>
      </c>
      <c r="AU58" s="1" t="s">
        <v>106</v>
      </c>
      <c r="AV58" s="1" t="s">
        <v>113</v>
      </c>
      <c r="AW58" s="1" t="s">
        <v>124</v>
      </c>
      <c r="AY58" s="1">
        <v>0</v>
      </c>
      <c r="AZ58" s="1" t="s">
        <v>113</v>
      </c>
      <c r="BA58" s="1" t="s">
        <v>113</v>
      </c>
      <c r="BB58" s="1" t="s">
        <v>125</v>
      </c>
      <c r="BD58" s="1">
        <v>0</v>
      </c>
      <c r="BE58" s="1">
        <v>100</v>
      </c>
      <c r="BF58" s="1" t="s">
        <v>167</v>
      </c>
      <c r="BG58" s="1" t="s">
        <v>116</v>
      </c>
      <c r="BH58" s="1" t="s">
        <v>269</v>
      </c>
      <c r="BI58" s="1" t="s">
        <v>269</v>
      </c>
      <c r="BJ58" s="1" t="s">
        <v>384</v>
      </c>
      <c r="BK58" s="1">
        <v>100</v>
      </c>
      <c r="BL58" s="1" t="s">
        <v>167</v>
      </c>
      <c r="BM58" s="1" t="s">
        <v>210</v>
      </c>
      <c r="BN58" s="1">
        <v>15</v>
      </c>
      <c r="BO58" s="1">
        <v>15</v>
      </c>
      <c r="BP58" s="1" t="s">
        <v>115</v>
      </c>
      <c r="BQ58" s="1" t="s">
        <v>1005</v>
      </c>
      <c r="BR58" s="1" t="s">
        <v>1006</v>
      </c>
      <c r="BS58" s="1" t="s">
        <v>130</v>
      </c>
      <c r="BT58" s="1" t="s">
        <v>172</v>
      </c>
      <c r="BU58" s="1" t="s">
        <v>173</v>
      </c>
      <c r="BV58" s="1" t="s">
        <v>1007</v>
      </c>
      <c r="BW58" s="1" t="s">
        <v>134</v>
      </c>
      <c r="BX58" s="1" t="s">
        <v>127</v>
      </c>
      <c r="BY58" s="1" t="s">
        <v>135</v>
      </c>
      <c r="BZ58" s="1">
        <v>296082</v>
      </c>
      <c r="CA58" s="1">
        <v>10130</v>
      </c>
      <c r="CB58" s="1" t="s">
        <v>176</v>
      </c>
      <c r="CC58" s="1" t="s">
        <v>177</v>
      </c>
      <c r="CD58" s="1" t="s">
        <v>1008</v>
      </c>
      <c r="CE58" s="1" t="s">
        <v>179</v>
      </c>
      <c r="CF58" s="1">
        <v>4602409.3499999996</v>
      </c>
      <c r="CG58" s="1">
        <v>5120461.8</v>
      </c>
      <c r="CH58" s="1" t="s">
        <v>1009</v>
      </c>
      <c r="CI58" s="1" t="s">
        <v>1009</v>
      </c>
      <c r="CJ58" s="1" t="s">
        <v>1009</v>
      </c>
      <c r="CK58" s="1" t="s">
        <v>1009</v>
      </c>
      <c r="CL58" s="1">
        <v>205</v>
      </c>
      <c r="CM58" s="5" t="s">
        <v>220</v>
      </c>
      <c r="CN58" s="1">
        <v>187</v>
      </c>
      <c r="CO58" s="5" t="s">
        <v>220</v>
      </c>
      <c r="CP58" s="5" t="s">
        <v>220</v>
      </c>
      <c r="CQ58" s="5" t="s">
        <v>220</v>
      </c>
      <c r="CR58" s="1" t="s">
        <v>139</v>
      </c>
      <c r="CS58" s="1" t="s">
        <v>327</v>
      </c>
      <c r="CT58" s="1" t="s">
        <v>589</v>
      </c>
      <c r="CV58" s="1" t="s">
        <v>1010</v>
      </c>
      <c r="CW58" s="1" t="s">
        <v>141</v>
      </c>
      <c r="CX58" s="1" t="s">
        <v>114</v>
      </c>
      <c r="CY58" s="1" t="s">
        <v>143</v>
      </c>
      <c r="CZ58" s="1" t="s">
        <v>144</v>
      </c>
      <c r="DA58" s="1" t="s">
        <v>145</v>
      </c>
    </row>
    <row r="59" spans="1:105" s="3" customFormat="1" ht="11.25" customHeight="1" x14ac:dyDescent="0.2">
      <c r="A59" s="1">
        <v>41</v>
      </c>
      <c r="B59" s="1" t="s">
        <v>1011</v>
      </c>
      <c r="C59" s="1" t="s">
        <v>1012</v>
      </c>
      <c r="D59" s="1">
        <v>3828</v>
      </c>
      <c r="E59" s="2" t="s">
        <v>1688</v>
      </c>
      <c r="F59" s="1"/>
      <c r="G59" s="1"/>
      <c r="H59" s="1"/>
      <c r="I59" s="1"/>
      <c r="J59" s="1"/>
      <c r="K59" s="1"/>
      <c r="L59" s="1"/>
      <c r="M59" s="1"/>
      <c r="N59" s="1"/>
      <c r="O59" s="1"/>
      <c r="P59" s="1"/>
      <c r="Q59" s="1"/>
      <c r="R59" s="1"/>
      <c r="S59" s="1"/>
      <c r="T59" s="1"/>
      <c r="U59" s="1"/>
      <c r="V59" s="1"/>
      <c r="W59" s="1"/>
      <c r="X59" s="1"/>
      <c r="Y59" s="1"/>
      <c r="Z59" s="1"/>
      <c r="AA59" s="1"/>
      <c r="AB59" s="1"/>
      <c r="AC59" s="1"/>
      <c r="AD59" s="5"/>
      <c r="AE59" s="1"/>
      <c r="AF59" s="1"/>
      <c r="AG59" s="1"/>
      <c r="AH59" s="1"/>
      <c r="AI59" s="1"/>
      <c r="AJ59" s="1"/>
      <c r="AK59" s="1"/>
      <c r="AL59" s="1"/>
      <c r="AM59" s="1"/>
      <c r="AN59" s="5"/>
      <c r="AO59" s="1"/>
      <c r="AP59" s="1"/>
      <c r="AQ59" s="1"/>
      <c r="AR59" s="1"/>
      <c r="AS59" s="1"/>
      <c r="AT59" s="1"/>
      <c r="AU59" s="1"/>
      <c r="AV59" s="1"/>
      <c r="AW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6"/>
      <c r="CG59" s="6"/>
      <c r="CH59" s="1"/>
      <c r="CI59" s="1"/>
      <c r="CJ59" s="1"/>
      <c r="CK59" s="1"/>
      <c r="CL59" s="5"/>
      <c r="CM59" s="5"/>
      <c r="CN59" s="5"/>
      <c r="CO59" s="5"/>
      <c r="CP59" s="5"/>
      <c r="CQ59" s="5"/>
      <c r="CR59" s="1"/>
      <c r="CS59" s="1"/>
      <c r="CT59" s="1"/>
      <c r="CV59" s="1"/>
      <c r="CW59" s="1"/>
      <c r="CX59" s="1"/>
      <c r="CY59" s="1"/>
      <c r="CZ59" s="1"/>
      <c r="DA59" s="1"/>
    </row>
    <row r="60" spans="1:105" s="3" customFormat="1" ht="11.25" customHeight="1" x14ac:dyDescent="0.2">
      <c r="A60" s="1">
        <v>41</v>
      </c>
      <c r="B60" s="1" t="s">
        <v>1014</v>
      </c>
      <c r="C60" s="1" t="s">
        <v>1013</v>
      </c>
      <c r="D60" s="1">
        <v>4032</v>
      </c>
      <c r="E60" s="2" t="s">
        <v>4201</v>
      </c>
      <c r="F60" s="1" t="s">
        <v>113</v>
      </c>
      <c r="G60" s="1" t="s">
        <v>190</v>
      </c>
      <c r="H60" s="1" t="s">
        <v>1015</v>
      </c>
      <c r="I60" s="1" t="s">
        <v>229</v>
      </c>
      <c r="J60" s="1" t="s">
        <v>229</v>
      </c>
      <c r="L60" s="1" t="s">
        <v>111</v>
      </c>
      <c r="M60" s="1" t="s">
        <v>1016</v>
      </c>
      <c r="N60" s="1" t="s">
        <v>112</v>
      </c>
      <c r="O60" s="1" t="s">
        <v>106</v>
      </c>
      <c r="P60" s="1" t="s">
        <v>113</v>
      </c>
      <c r="Q60" s="1" t="s">
        <v>195</v>
      </c>
      <c r="R60" s="1" t="s">
        <v>1017</v>
      </c>
      <c r="S60" s="1" t="s">
        <v>1018</v>
      </c>
      <c r="T60" s="1" t="s">
        <v>106</v>
      </c>
      <c r="U60" s="1" t="s">
        <v>1019</v>
      </c>
      <c r="V60" s="1" t="s">
        <v>1020</v>
      </c>
      <c r="W60" s="1" t="s">
        <v>115</v>
      </c>
      <c r="X60" s="1" t="s">
        <v>113</v>
      </c>
      <c r="Y60" s="1" t="s">
        <v>1021</v>
      </c>
      <c r="Z60" s="1">
        <v>100</v>
      </c>
      <c r="AA60" s="1" t="s">
        <v>132</v>
      </c>
      <c r="AB60" s="1" t="s">
        <v>128</v>
      </c>
      <c r="AC60" s="1" t="s">
        <v>118</v>
      </c>
      <c r="AD60" s="1">
        <v>90</v>
      </c>
      <c r="AE60" s="1" t="s">
        <v>132</v>
      </c>
      <c r="AF60" s="1">
        <v>408</v>
      </c>
      <c r="AG60" s="1" t="s">
        <v>113</v>
      </c>
      <c r="AH60" s="5" t="s">
        <v>220</v>
      </c>
      <c r="AI60" s="5" t="s">
        <v>220</v>
      </c>
      <c r="AJ60" s="5" t="s">
        <v>220</v>
      </c>
      <c r="AK60" s="1" t="s">
        <v>626</v>
      </c>
      <c r="AL60" s="5" t="s">
        <v>1022</v>
      </c>
      <c r="AM60" s="1" t="s">
        <v>1023</v>
      </c>
      <c r="AN60" s="5" t="s">
        <v>220</v>
      </c>
      <c r="AO60" s="1" t="s">
        <v>113</v>
      </c>
      <c r="AP60" s="1" t="s">
        <v>113</v>
      </c>
      <c r="AQ60" s="1" t="s">
        <v>1018</v>
      </c>
      <c r="AR60" s="1" t="s">
        <v>1018</v>
      </c>
      <c r="AS60" s="1" t="s">
        <v>1018</v>
      </c>
      <c r="AT60" s="1" t="s">
        <v>628</v>
      </c>
      <c r="AU60" s="1" t="s">
        <v>113</v>
      </c>
      <c r="AV60" s="1" t="s">
        <v>113</v>
      </c>
      <c r="AW60" s="1" t="s">
        <v>164</v>
      </c>
      <c r="AX60" s="1" t="s">
        <v>165</v>
      </c>
      <c r="AY60" s="1">
        <v>0</v>
      </c>
      <c r="AZ60" s="1" t="s">
        <v>113</v>
      </c>
      <c r="BA60" s="1" t="s">
        <v>113</v>
      </c>
      <c r="BB60" s="1" t="s">
        <v>125</v>
      </c>
      <c r="BC60" s="1" t="s">
        <v>166</v>
      </c>
      <c r="BD60" s="1">
        <v>0</v>
      </c>
      <c r="BE60" s="1">
        <v>100</v>
      </c>
      <c r="BF60" s="1" t="s">
        <v>167</v>
      </c>
      <c r="BG60" s="1" t="s">
        <v>268</v>
      </c>
      <c r="BH60" s="1" t="s">
        <v>269</v>
      </c>
      <c r="BI60" s="1" t="s">
        <v>269</v>
      </c>
      <c r="BJ60" s="1" t="s">
        <v>208</v>
      </c>
      <c r="BK60" s="1">
        <v>90</v>
      </c>
      <c r="BL60" s="1" t="s">
        <v>270</v>
      </c>
      <c r="BM60" s="1" t="s">
        <v>271</v>
      </c>
      <c r="BN60" s="5" t="s">
        <v>1024</v>
      </c>
      <c r="BO60" s="1">
        <v>0</v>
      </c>
      <c r="BP60" s="1" t="s">
        <v>124</v>
      </c>
      <c r="BQ60" s="1" t="s">
        <v>1025</v>
      </c>
      <c r="BR60" s="1" t="s">
        <v>1026</v>
      </c>
      <c r="BS60" s="1" t="s">
        <v>1027</v>
      </c>
      <c r="BT60" s="1" t="s">
        <v>172</v>
      </c>
      <c r="BU60" s="1" t="s">
        <v>239</v>
      </c>
      <c r="BV60" s="1" t="s">
        <v>1028</v>
      </c>
      <c r="BW60" s="1" t="s">
        <v>516</v>
      </c>
      <c r="BX60" s="1" t="s">
        <v>325</v>
      </c>
      <c r="BY60" s="1" t="s">
        <v>299</v>
      </c>
      <c r="BZ60" s="1" t="s">
        <v>1029</v>
      </c>
      <c r="CA60" s="1">
        <v>240</v>
      </c>
      <c r="CB60" s="1" t="s">
        <v>244</v>
      </c>
      <c r="CC60" s="1" t="s">
        <v>177</v>
      </c>
      <c r="CD60" s="1" t="s">
        <v>1030</v>
      </c>
      <c r="CE60" s="1" t="s">
        <v>478</v>
      </c>
      <c r="CF60" s="1">
        <v>14000</v>
      </c>
      <c r="CG60" s="1">
        <v>255900</v>
      </c>
      <c r="CH60" s="1">
        <v>313</v>
      </c>
      <c r="CI60" s="1">
        <v>0</v>
      </c>
      <c r="CJ60" s="1">
        <v>313</v>
      </c>
      <c r="CK60" s="1">
        <v>313</v>
      </c>
      <c r="CL60" s="1">
        <v>313</v>
      </c>
      <c r="CM60" s="1">
        <v>313</v>
      </c>
      <c r="CN60" s="1">
        <v>0</v>
      </c>
      <c r="CO60" s="1">
        <v>0</v>
      </c>
      <c r="CP60" s="1">
        <v>0</v>
      </c>
      <c r="CQ60" s="1">
        <v>0</v>
      </c>
      <c r="CR60" s="1" t="s">
        <v>180</v>
      </c>
      <c r="CS60" s="1" t="s">
        <v>140</v>
      </c>
      <c r="CT60" s="1" t="s">
        <v>1031</v>
      </c>
      <c r="CU60" s="1" t="s">
        <v>1032</v>
      </c>
      <c r="CV60" s="1" t="s">
        <v>1033</v>
      </c>
      <c r="CW60" s="1" t="s">
        <v>251</v>
      </c>
      <c r="CX60" s="1" t="s">
        <v>1034</v>
      </c>
      <c r="CY60" s="1" t="s">
        <v>276</v>
      </c>
      <c r="CZ60" s="1" t="s">
        <v>144</v>
      </c>
      <c r="DA60" s="1" t="s">
        <v>145</v>
      </c>
    </row>
    <row r="61" spans="1:105" s="3" customFormat="1" ht="11.25" customHeight="1" x14ac:dyDescent="0.2">
      <c r="A61" s="1">
        <v>41</v>
      </c>
      <c r="B61" s="1" t="s">
        <v>1036</v>
      </c>
      <c r="C61" s="1" t="s">
        <v>1035</v>
      </c>
      <c r="D61" s="1">
        <v>7666</v>
      </c>
      <c r="E61" s="2" t="s">
        <v>4201</v>
      </c>
      <c r="F61" s="1" t="s">
        <v>113</v>
      </c>
      <c r="H61" s="1" t="s">
        <v>114</v>
      </c>
      <c r="I61" s="1" t="s">
        <v>193</v>
      </c>
      <c r="J61" s="1" t="s">
        <v>229</v>
      </c>
      <c r="L61" s="1" t="s">
        <v>111</v>
      </c>
      <c r="M61" s="1" t="s">
        <v>111</v>
      </c>
      <c r="N61" s="1" t="s">
        <v>112</v>
      </c>
      <c r="O61" s="1" t="s">
        <v>106</v>
      </c>
      <c r="P61" s="1" t="s">
        <v>113</v>
      </c>
      <c r="Q61" s="1" t="s">
        <v>195</v>
      </c>
      <c r="R61" s="1" t="s">
        <v>1037</v>
      </c>
      <c r="S61" s="1" t="s">
        <v>114</v>
      </c>
      <c r="T61" s="1" t="s">
        <v>113</v>
      </c>
      <c r="U61" s="1" t="s">
        <v>114</v>
      </c>
      <c r="V61" s="1" t="s">
        <v>1038</v>
      </c>
      <c r="W61" s="1" t="s">
        <v>755</v>
      </c>
      <c r="X61" s="1" t="s">
        <v>113</v>
      </c>
      <c r="Y61" s="1" t="s">
        <v>114</v>
      </c>
      <c r="Z61" s="1">
        <v>100</v>
      </c>
      <c r="AA61" s="1" t="s">
        <v>116</v>
      </c>
      <c r="AB61" s="1" t="s">
        <v>128</v>
      </c>
      <c r="AC61" s="1" t="s">
        <v>384</v>
      </c>
      <c r="AD61" s="1">
        <v>100</v>
      </c>
      <c r="AE61" s="1" t="s">
        <v>116</v>
      </c>
      <c r="AF61" s="1">
        <v>1128</v>
      </c>
      <c r="AG61" s="1" t="s">
        <v>113</v>
      </c>
      <c r="AH61" s="1">
        <v>0</v>
      </c>
      <c r="AI61" s="1">
        <v>0</v>
      </c>
      <c r="AJ61" s="1">
        <v>0</v>
      </c>
      <c r="AK61" s="1" t="s">
        <v>626</v>
      </c>
      <c r="AL61" s="1">
        <v>400</v>
      </c>
      <c r="AM61" s="1" t="s">
        <v>172</v>
      </c>
      <c r="AN61" s="1">
        <v>400</v>
      </c>
      <c r="AO61" s="1" t="s">
        <v>113</v>
      </c>
      <c r="AP61" s="1" t="s">
        <v>113</v>
      </c>
      <c r="AQ61" s="1" t="s">
        <v>114</v>
      </c>
      <c r="AR61" s="1" t="s">
        <v>114</v>
      </c>
      <c r="AS61" s="1" t="s">
        <v>114</v>
      </c>
      <c r="AT61" s="1" t="s">
        <v>123</v>
      </c>
      <c r="AU61" s="1" t="s">
        <v>113</v>
      </c>
      <c r="AV61" s="1" t="s">
        <v>113</v>
      </c>
      <c r="AW61" s="1" t="s">
        <v>164</v>
      </c>
      <c r="AY61" s="1">
        <v>0</v>
      </c>
      <c r="AZ61" s="1" t="s">
        <v>113</v>
      </c>
      <c r="BA61" s="1" t="s">
        <v>113</v>
      </c>
      <c r="BB61" s="1" t="s">
        <v>125</v>
      </c>
      <c r="BD61" s="1">
        <v>0</v>
      </c>
      <c r="BE61" s="1">
        <v>100</v>
      </c>
      <c r="BF61" s="1" t="s">
        <v>167</v>
      </c>
      <c r="BG61" s="1" t="s">
        <v>116</v>
      </c>
      <c r="BH61" s="1" t="s">
        <v>168</v>
      </c>
      <c r="BI61" s="1" t="s">
        <v>207</v>
      </c>
      <c r="BJ61" s="1" t="s">
        <v>384</v>
      </c>
      <c r="BK61" s="1">
        <v>100</v>
      </c>
      <c r="BL61" s="1" t="s">
        <v>270</v>
      </c>
      <c r="BM61" s="1" t="s">
        <v>210</v>
      </c>
      <c r="BN61" s="1" t="s">
        <v>114</v>
      </c>
      <c r="BP61" s="1" t="s">
        <v>115</v>
      </c>
      <c r="BQ61" s="1" t="s">
        <v>1039</v>
      </c>
      <c r="BR61" s="1" t="s">
        <v>1040</v>
      </c>
      <c r="BS61" s="1" t="s">
        <v>1041</v>
      </c>
      <c r="BT61" s="1" t="s">
        <v>172</v>
      </c>
      <c r="BU61" s="1" t="s">
        <v>132</v>
      </c>
      <c r="BV61" s="1" t="s">
        <v>1042</v>
      </c>
      <c r="BW61" s="1" t="s">
        <v>134</v>
      </c>
      <c r="BX61" s="1" t="s">
        <v>1043</v>
      </c>
      <c r="BY61" s="1" t="s">
        <v>135</v>
      </c>
      <c r="BZ61" s="1" t="s">
        <v>157</v>
      </c>
      <c r="CA61" s="1">
        <v>1128</v>
      </c>
      <c r="CB61" s="1" t="s">
        <v>176</v>
      </c>
      <c r="CC61" s="1" t="s">
        <v>217</v>
      </c>
      <c r="CD61" s="1" t="s">
        <v>1044</v>
      </c>
      <c r="CE61" s="1" t="s">
        <v>219</v>
      </c>
      <c r="CF61" s="1">
        <v>160818.69</v>
      </c>
      <c r="CG61" s="6">
        <v>429600</v>
      </c>
      <c r="CH61" s="1">
        <v>0</v>
      </c>
      <c r="CI61" s="1">
        <v>0</v>
      </c>
      <c r="CJ61" s="1">
        <v>198.04</v>
      </c>
      <c r="CK61" s="1">
        <v>0</v>
      </c>
      <c r="CL61" s="1">
        <v>0</v>
      </c>
      <c r="CM61" s="1">
        <v>0</v>
      </c>
      <c r="CN61" s="1">
        <v>0</v>
      </c>
      <c r="CO61" s="1">
        <v>0</v>
      </c>
      <c r="CP61" s="1">
        <v>0</v>
      </c>
      <c r="CQ61" s="1">
        <v>0</v>
      </c>
      <c r="CR61" s="1" t="s">
        <v>139</v>
      </c>
      <c r="CS61" s="1" t="s">
        <v>308</v>
      </c>
      <c r="CT61" s="1" t="s">
        <v>114</v>
      </c>
      <c r="CV61" s="1" t="s">
        <v>1045</v>
      </c>
      <c r="CW61" s="1" t="s">
        <v>251</v>
      </c>
      <c r="CX61" s="1" t="s">
        <v>114</v>
      </c>
      <c r="CY61" s="1" t="s">
        <v>114</v>
      </c>
      <c r="CZ61" s="1" t="s">
        <v>144</v>
      </c>
      <c r="DA61" s="1" t="s">
        <v>145</v>
      </c>
    </row>
    <row r="62" spans="1:105" s="3" customFormat="1" ht="11.25" customHeight="1" x14ac:dyDescent="0.2">
      <c r="A62" s="1">
        <v>41</v>
      </c>
      <c r="B62" s="1" t="s">
        <v>1047</v>
      </c>
      <c r="C62" s="1" t="s">
        <v>1046</v>
      </c>
      <c r="D62" s="1">
        <v>142695</v>
      </c>
      <c r="E62" s="2" t="s">
        <v>4201</v>
      </c>
      <c r="F62" s="1" t="s">
        <v>106</v>
      </c>
      <c r="G62" s="1" t="s">
        <v>107</v>
      </c>
      <c r="H62" s="1" t="s">
        <v>108</v>
      </c>
      <c r="I62" s="1" t="s">
        <v>109</v>
      </c>
      <c r="J62" s="1" t="s">
        <v>106</v>
      </c>
      <c r="K62" s="1" t="s">
        <v>110</v>
      </c>
      <c r="L62" s="1" t="s">
        <v>401</v>
      </c>
      <c r="M62" s="1" t="s">
        <v>1048</v>
      </c>
      <c r="N62" s="1" t="s">
        <v>506</v>
      </c>
      <c r="O62" s="1" t="s">
        <v>113</v>
      </c>
      <c r="P62" s="1" t="s">
        <v>113</v>
      </c>
      <c r="Q62" s="1" t="s">
        <v>195</v>
      </c>
      <c r="R62" s="1" t="s">
        <v>1049</v>
      </c>
      <c r="S62" s="1" t="s">
        <v>114</v>
      </c>
      <c r="T62" s="1" t="s">
        <v>106</v>
      </c>
      <c r="U62" s="1" t="s">
        <v>1050</v>
      </c>
      <c r="V62" s="1" t="s">
        <v>1051</v>
      </c>
      <c r="W62" s="1" t="s">
        <v>115</v>
      </c>
      <c r="X62" s="1" t="s">
        <v>113</v>
      </c>
      <c r="Z62" s="1">
        <v>98</v>
      </c>
      <c r="AA62" s="1" t="s">
        <v>132</v>
      </c>
      <c r="AB62" s="1" t="s">
        <v>117</v>
      </c>
      <c r="AC62" s="1" t="s">
        <v>118</v>
      </c>
      <c r="AD62" s="1">
        <v>30</v>
      </c>
      <c r="AE62" s="1" t="s">
        <v>132</v>
      </c>
      <c r="AF62" s="1">
        <v>24000</v>
      </c>
      <c r="AG62" s="1" t="s">
        <v>106</v>
      </c>
      <c r="AH62" s="1">
        <v>42</v>
      </c>
      <c r="AI62" s="1">
        <v>29</v>
      </c>
      <c r="AJ62" s="1">
        <v>29</v>
      </c>
      <c r="AK62" s="1" t="s">
        <v>119</v>
      </c>
      <c r="AM62" s="1" t="s">
        <v>1052</v>
      </c>
      <c r="AO62" s="1" t="s">
        <v>113</v>
      </c>
      <c r="AP62" s="1" t="s">
        <v>106</v>
      </c>
      <c r="AQ62" s="1" t="s">
        <v>114</v>
      </c>
      <c r="AR62" s="1" t="s">
        <v>1053</v>
      </c>
      <c r="AS62" s="1" t="s">
        <v>1054</v>
      </c>
      <c r="AT62" s="1" t="s">
        <v>204</v>
      </c>
      <c r="AU62" s="1" t="s">
        <v>106</v>
      </c>
      <c r="AV62" s="1" t="s">
        <v>106</v>
      </c>
      <c r="AW62" s="1" t="s">
        <v>234</v>
      </c>
      <c r="AX62" s="1" t="s">
        <v>760</v>
      </c>
      <c r="AY62" s="1">
        <v>0</v>
      </c>
      <c r="AZ62" s="1" t="s">
        <v>113</v>
      </c>
      <c r="BA62" s="1" t="s">
        <v>113</v>
      </c>
      <c r="BB62" s="1" t="s">
        <v>125</v>
      </c>
      <c r="BC62" s="1" t="s">
        <v>166</v>
      </c>
      <c r="BD62" s="1">
        <v>0</v>
      </c>
      <c r="BE62" s="1">
        <v>98</v>
      </c>
      <c r="BF62" s="1" t="s">
        <v>167</v>
      </c>
      <c r="BG62" s="1" t="s">
        <v>132</v>
      </c>
      <c r="BH62" s="1" t="s">
        <v>168</v>
      </c>
      <c r="BI62" s="1" t="s">
        <v>269</v>
      </c>
      <c r="BJ62" s="1" t="s">
        <v>208</v>
      </c>
      <c r="BK62" s="1">
        <v>10</v>
      </c>
      <c r="BL62" s="1" t="s">
        <v>1055</v>
      </c>
      <c r="BM62" s="1" t="s">
        <v>472</v>
      </c>
      <c r="BN62" s="1">
        <v>80</v>
      </c>
      <c r="BP62" s="1" t="s">
        <v>115</v>
      </c>
      <c r="BQ62" s="1" t="s">
        <v>110</v>
      </c>
      <c r="BR62" s="1" t="s">
        <v>1056</v>
      </c>
      <c r="BS62" s="1" t="s">
        <v>130</v>
      </c>
      <c r="BT62" s="1" t="s">
        <v>172</v>
      </c>
      <c r="BU62" s="1" t="s">
        <v>173</v>
      </c>
      <c r="BV62" s="1" t="s">
        <v>1057</v>
      </c>
      <c r="BW62" s="1" t="s">
        <v>134</v>
      </c>
      <c r="BX62" s="1" t="s">
        <v>695</v>
      </c>
      <c r="BY62" s="1" t="s">
        <v>135</v>
      </c>
      <c r="BZ62" s="1" t="s">
        <v>157</v>
      </c>
      <c r="CA62" s="1">
        <v>23821</v>
      </c>
      <c r="CB62" s="1" t="s">
        <v>176</v>
      </c>
      <c r="CC62" s="1" t="s">
        <v>496</v>
      </c>
      <c r="CD62" s="1" t="s">
        <v>1058</v>
      </c>
      <c r="CE62" s="1" t="s">
        <v>478</v>
      </c>
      <c r="CF62" s="6">
        <v>13804501.130000001</v>
      </c>
      <c r="CG62" s="1">
        <v>13064666.16</v>
      </c>
      <c r="CH62" s="1">
        <v>265.36</v>
      </c>
      <c r="CI62" s="1">
        <v>77.319999999999993</v>
      </c>
      <c r="CJ62" s="1">
        <v>95.72</v>
      </c>
      <c r="CK62" s="1">
        <v>2020829.13</v>
      </c>
      <c r="CL62" s="1">
        <v>1491</v>
      </c>
      <c r="CM62" s="1" t="s">
        <v>1059</v>
      </c>
      <c r="CN62" s="1">
        <v>0</v>
      </c>
      <c r="CO62" s="1">
        <v>0</v>
      </c>
      <c r="CP62" s="1">
        <v>0</v>
      </c>
      <c r="CQ62" s="1">
        <v>0</v>
      </c>
      <c r="CR62" s="1" t="s">
        <v>418</v>
      </c>
      <c r="CS62" s="1" t="s">
        <v>140</v>
      </c>
      <c r="CT62" s="1" t="s">
        <v>1060</v>
      </c>
      <c r="CU62" s="1" t="s">
        <v>1061</v>
      </c>
      <c r="CV62" s="1" t="s">
        <v>586</v>
      </c>
      <c r="CW62" s="1" t="s">
        <v>141</v>
      </c>
      <c r="CX62" s="1" t="s">
        <v>1062</v>
      </c>
      <c r="CY62" s="1" t="s">
        <v>143</v>
      </c>
      <c r="CZ62" s="1" t="s">
        <v>144</v>
      </c>
      <c r="DA62" s="1" t="s">
        <v>145</v>
      </c>
    </row>
    <row r="63" spans="1:105" s="3" customFormat="1" ht="11.25" customHeight="1" x14ac:dyDescent="0.2">
      <c r="A63" s="1">
        <v>41</v>
      </c>
      <c r="B63" s="1" t="s">
        <v>1064</v>
      </c>
      <c r="C63" s="1" t="s">
        <v>1063</v>
      </c>
      <c r="D63" s="1">
        <v>103340</v>
      </c>
      <c r="E63" s="2" t="s">
        <v>4201</v>
      </c>
      <c r="F63" s="1" t="s">
        <v>113</v>
      </c>
      <c r="H63" s="1" t="s">
        <v>1065</v>
      </c>
      <c r="I63" s="1" t="s">
        <v>332</v>
      </c>
      <c r="J63" s="1" t="s">
        <v>229</v>
      </c>
      <c r="L63" s="1" t="s">
        <v>149</v>
      </c>
      <c r="M63" s="1" t="s">
        <v>1066</v>
      </c>
      <c r="N63" s="1" t="s">
        <v>1067</v>
      </c>
      <c r="O63" s="1" t="s">
        <v>106</v>
      </c>
      <c r="P63" s="1" t="s">
        <v>106</v>
      </c>
      <c r="Q63" s="1" t="s">
        <v>195</v>
      </c>
      <c r="R63" s="1" t="s">
        <v>1068</v>
      </c>
      <c r="S63" s="1" t="s">
        <v>1068</v>
      </c>
      <c r="T63" s="1" t="s">
        <v>106</v>
      </c>
      <c r="U63" s="1" t="s">
        <v>1069</v>
      </c>
      <c r="V63" s="1" t="s">
        <v>1070</v>
      </c>
      <c r="W63" s="1" t="s">
        <v>199</v>
      </c>
      <c r="X63" s="1" t="s">
        <v>106</v>
      </c>
      <c r="Y63" s="1" t="s">
        <v>1071</v>
      </c>
      <c r="Z63" s="1">
        <v>80</v>
      </c>
      <c r="AA63" s="1" t="s">
        <v>132</v>
      </c>
      <c r="AB63" s="1" t="s">
        <v>128</v>
      </c>
      <c r="AC63" s="1" t="s">
        <v>118</v>
      </c>
      <c r="AD63" s="1">
        <v>80</v>
      </c>
      <c r="AE63" s="1" t="s">
        <v>132</v>
      </c>
      <c r="AF63" s="1">
        <v>19200</v>
      </c>
      <c r="AG63" s="1" t="s">
        <v>106</v>
      </c>
      <c r="AH63" s="1">
        <v>0</v>
      </c>
      <c r="AI63" s="1">
        <v>60</v>
      </c>
      <c r="AJ63" s="1">
        <v>0</v>
      </c>
      <c r="AK63" s="1" t="s">
        <v>530</v>
      </c>
      <c r="AM63" s="1" t="s">
        <v>120</v>
      </c>
      <c r="AO63" s="1" t="s">
        <v>113</v>
      </c>
      <c r="AP63" s="1" t="s">
        <v>113</v>
      </c>
      <c r="AQ63" s="1" t="s">
        <v>114</v>
      </c>
      <c r="AR63" s="1" t="s">
        <v>114</v>
      </c>
      <c r="AS63" s="1" t="s">
        <v>114</v>
      </c>
      <c r="AT63" s="1" t="s">
        <v>1072</v>
      </c>
      <c r="AU63" s="1" t="s">
        <v>106</v>
      </c>
      <c r="AV63" s="1" t="s">
        <v>106</v>
      </c>
      <c r="AW63" s="1" t="s">
        <v>234</v>
      </c>
      <c r="AX63" s="1" t="s">
        <v>1073</v>
      </c>
      <c r="AY63" s="1">
        <v>0</v>
      </c>
      <c r="AZ63" s="1" t="s">
        <v>113</v>
      </c>
      <c r="BA63" s="1" t="s">
        <v>113</v>
      </c>
      <c r="BB63" s="1" t="s">
        <v>125</v>
      </c>
      <c r="BC63" s="1" t="s">
        <v>1074</v>
      </c>
      <c r="BD63" s="1">
        <v>0</v>
      </c>
      <c r="BE63" s="1">
        <v>100</v>
      </c>
      <c r="BF63" s="1" t="s">
        <v>630</v>
      </c>
      <c r="BG63" s="1" t="s">
        <v>132</v>
      </c>
      <c r="BH63" s="1" t="s">
        <v>169</v>
      </c>
      <c r="BI63" s="1" t="s">
        <v>169</v>
      </c>
      <c r="BJ63" s="1" t="s">
        <v>208</v>
      </c>
      <c r="BK63" s="1">
        <v>80</v>
      </c>
      <c r="BL63" s="1" t="s">
        <v>294</v>
      </c>
      <c r="BM63" s="1" t="s">
        <v>472</v>
      </c>
      <c r="BN63" s="1">
        <v>0</v>
      </c>
      <c r="BO63" s="1">
        <v>0</v>
      </c>
      <c r="BP63" s="1" t="s">
        <v>124</v>
      </c>
      <c r="BQ63" s="1" t="s">
        <v>1063</v>
      </c>
      <c r="BR63" s="1" t="s">
        <v>1075</v>
      </c>
      <c r="BS63" s="1" t="s">
        <v>1076</v>
      </c>
      <c r="BT63" s="1" t="s">
        <v>172</v>
      </c>
      <c r="BU63" s="1" t="s">
        <v>132</v>
      </c>
      <c r="BV63" s="1" t="s">
        <v>275</v>
      </c>
      <c r="BW63" s="1" t="s">
        <v>134</v>
      </c>
      <c r="BX63" s="1" t="s">
        <v>175</v>
      </c>
      <c r="BY63" s="1" t="s">
        <v>454</v>
      </c>
      <c r="BZ63" s="1" t="s">
        <v>1077</v>
      </c>
      <c r="CA63" s="1">
        <v>19200</v>
      </c>
      <c r="CB63" s="1" t="s">
        <v>244</v>
      </c>
      <c r="CC63" s="1" t="s">
        <v>217</v>
      </c>
      <c r="CD63" s="1" t="s">
        <v>1078</v>
      </c>
      <c r="CE63" s="1" t="s">
        <v>219</v>
      </c>
      <c r="CF63" s="6">
        <v>9961899.5099999998</v>
      </c>
      <c r="CG63" s="6">
        <v>6802971.3200000003</v>
      </c>
      <c r="CH63" s="1">
        <v>214.7</v>
      </c>
      <c r="CI63" s="1">
        <v>0</v>
      </c>
      <c r="CJ63" s="1">
        <v>214.7</v>
      </c>
      <c r="CK63" s="1">
        <v>725.13</v>
      </c>
      <c r="CL63" s="1">
        <v>0</v>
      </c>
      <c r="CM63" s="1">
        <v>0</v>
      </c>
      <c r="CN63" s="1">
        <v>0</v>
      </c>
      <c r="CO63" s="1">
        <v>0</v>
      </c>
      <c r="CP63" s="1">
        <v>0</v>
      </c>
      <c r="CQ63" s="1">
        <v>0</v>
      </c>
      <c r="CR63" s="1" t="s">
        <v>180</v>
      </c>
      <c r="CS63" s="1" t="s">
        <v>140</v>
      </c>
      <c r="CT63" s="1" t="s">
        <v>459</v>
      </c>
      <c r="CU63" s="1" t="s">
        <v>1079</v>
      </c>
      <c r="CV63" s="1" t="s">
        <v>1080</v>
      </c>
      <c r="CW63" s="1" t="s">
        <v>284</v>
      </c>
      <c r="CX63" s="1" t="s">
        <v>114</v>
      </c>
      <c r="CY63" s="1" t="s">
        <v>143</v>
      </c>
      <c r="CZ63" s="1" t="s">
        <v>144</v>
      </c>
      <c r="DA63" s="1" t="s">
        <v>145</v>
      </c>
    </row>
    <row r="64" spans="1:105" s="3" customFormat="1" ht="11.25" customHeight="1" x14ac:dyDescent="0.2">
      <c r="A64" s="1">
        <v>41</v>
      </c>
      <c r="B64" s="1" t="s">
        <v>1082</v>
      </c>
      <c r="C64" s="1" t="s">
        <v>1081</v>
      </c>
      <c r="D64" s="1">
        <v>15174</v>
      </c>
      <c r="E64" s="2" t="s">
        <v>4201</v>
      </c>
      <c r="F64" s="1" t="s">
        <v>113</v>
      </c>
      <c r="G64" s="1" t="s">
        <v>190</v>
      </c>
      <c r="H64" s="1" t="s">
        <v>1083</v>
      </c>
      <c r="I64" s="1" t="s">
        <v>229</v>
      </c>
      <c r="J64" s="1" t="s">
        <v>113</v>
      </c>
      <c r="L64" s="1" t="s">
        <v>149</v>
      </c>
      <c r="M64" s="1" t="s">
        <v>1084</v>
      </c>
      <c r="N64" s="1" t="s">
        <v>1085</v>
      </c>
      <c r="O64" s="1" t="s">
        <v>106</v>
      </c>
      <c r="P64" s="1" t="s">
        <v>113</v>
      </c>
      <c r="Q64" s="1" t="s">
        <v>195</v>
      </c>
      <c r="R64" s="1" t="s">
        <v>1086</v>
      </c>
      <c r="S64" s="1" t="s">
        <v>1087</v>
      </c>
      <c r="T64" s="1" t="s">
        <v>106</v>
      </c>
      <c r="U64" s="1" t="s">
        <v>1088</v>
      </c>
      <c r="V64" s="1" t="s">
        <v>1089</v>
      </c>
      <c r="W64" s="1" t="s">
        <v>199</v>
      </c>
      <c r="X64" s="1" t="s">
        <v>106</v>
      </c>
      <c r="Y64" s="1" t="s">
        <v>1090</v>
      </c>
      <c r="Z64" s="1">
        <v>100</v>
      </c>
      <c r="AA64" s="1" t="s">
        <v>116</v>
      </c>
      <c r="AB64" s="1" t="s">
        <v>128</v>
      </c>
      <c r="AC64" s="1" t="s">
        <v>118</v>
      </c>
      <c r="AD64" s="1">
        <v>30</v>
      </c>
      <c r="AE64" s="1" t="s">
        <v>116</v>
      </c>
      <c r="AF64" s="1">
        <v>2417</v>
      </c>
      <c r="AG64" s="1" t="s">
        <v>113</v>
      </c>
      <c r="AH64" s="1">
        <v>0</v>
      </c>
      <c r="AI64" s="1">
        <v>0</v>
      </c>
      <c r="AJ64" s="1">
        <v>0</v>
      </c>
      <c r="AK64" s="1" t="s">
        <v>758</v>
      </c>
      <c r="AL64" s="1">
        <v>528</v>
      </c>
      <c r="AM64" s="1" t="s">
        <v>1091</v>
      </c>
      <c r="AN64" s="1">
        <v>528</v>
      </c>
      <c r="AO64" s="1" t="s">
        <v>113</v>
      </c>
      <c r="AP64" s="1" t="s">
        <v>106</v>
      </c>
      <c r="AQ64" s="1" t="s">
        <v>1092</v>
      </c>
      <c r="AR64" s="1" t="s">
        <v>1093</v>
      </c>
      <c r="AS64" s="1" t="s">
        <v>1094</v>
      </c>
      <c r="AT64" s="1" t="s">
        <v>650</v>
      </c>
      <c r="AU64" s="1" t="s">
        <v>106</v>
      </c>
      <c r="AV64" s="1" t="s">
        <v>106</v>
      </c>
      <c r="AW64" s="1" t="s">
        <v>124</v>
      </c>
      <c r="AX64" s="1" t="s">
        <v>165</v>
      </c>
      <c r="AY64" s="1">
        <v>0</v>
      </c>
      <c r="AZ64" s="1" t="s">
        <v>113</v>
      </c>
      <c r="BA64" s="1" t="s">
        <v>113</v>
      </c>
      <c r="BB64" s="1" t="s">
        <v>125</v>
      </c>
      <c r="BC64" s="1" t="s">
        <v>166</v>
      </c>
      <c r="BD64" s="1">
        <v>0</v>
      </c>
      <c r="BE64" s="1">
        <v>100</v>
      </c>
      <c r="BF64" s="1" t="s">
        <v>630</v>
      </c>
      <c r="BG64" s="1" t="s">
        <v>383</v>
      </c>
      <c r="BH64" s="1" t="s">
        <v>569</v>
      </c>
      <c r="BI64" s="1" t="s">
        <v>569</v>
      </c>
      <c r="BJ64" s="1" t="s">
        <v>208</v>
      </c>
      <c r="BK64" s="1">
        <v>30</v>
      </c>
      <c r="BL64" s="1" t="s">
        <v>294</v>
      </c>
      <c r="BM64" s="1" t="s">
        <v>210</v>
      </c>
      <c r="BN64" s="5" t="s">
        <v>1024</v>
      </c>
      <c r="BO64" s="1">
        <v>0</v>
      </c>
      <c r="BP64" s="1" t="s">
        <v>115</v>
      </c>
      <c r="BQ64" s="1" t="s">
        <v>1095</v>
      </c>
      <c r="BR64" s="1" t="s">
        <v>1096</v>
      </c>
      <c r="BS64" s="1" t="s">
        <v>1097</v>
      </c>
      <c r="BT64" s="1" t="s">
        <v>172</v>
      </c>
      <c r="BU64" s="1" t="s">
        <v>132</v>
      </c>
      <c r="BV64" s="1" t="s">
        <v>174</v>
      </c>
      <c r="BW64" s="1" t="s">
        <v>134</v>
      </c>
      <c r="BX64" s="1" t="s">
        <v>175</v>
      </c>
      <c r="BY64" s="1" t="s">
        <v>135</v>
      </c>
      <c r="BZ64" s="1" t="s">
        <v>1098</v>
      </c>
      <c r="CA64" s="1">
        <v>1987</v>
      </c>
      <c r="CB64" s="1" t="s">
        <v>176</v>
      </c>
      <c r="CC64" s="1" t="s">
        <v>217</v>
      </c>
      <c r="CD64" s="1" t="s">
        <v>1099</v>
      </c>
      <c r="CE64" s="1" t="s">
        <v>478</v>
      </c>
      <c r="CF64" s="1">
        <v>625746.23</v>
      </c>
      <c r="CG64" s="1">
        <v>1911063.92</v>
      </c>
      <c r="CH64" s="1">
        <v>807257.48</v>
      </c>
      <c r="CI64" s="1">
        <v>408732.84</v>
      </c>
      <c r="CJ64" s="1">
        <v>166064.37</v>
      </c>
      <c r="CK64" s="1">
        <v>0</v>
      </c>
      <c r="CL64" s="1">
        <v>0</v>
      </c>
      <c r="CM64" s="1">
        <v>0</v>
      </c>
      <c r="CN64" s="1">
        <v>0</v>
      </c>
      <c r="CO64" s="1">
        <v>0</v>
      </c>
      <c r="CP64" s="1">
        <v>0</v>
      </c>
      <c r="CQ64" s="1">
        <v>0</v>
      </c>
      <c r="CR64" s="1" t="s">
        <v>180</v>
      </c>
      <c r="CS64" s="1" t="s">
        <v>140</v>
      </c>
      <c r="CT64" s="1" t="s">
        <v>175</v>
      </c>
      <c r="CW64" s="1" t="s">
        <v>251</v>
      </c>
      <c r="CX64" s="1" t="s">
        <v>157</v>
      </c>
      <c r="CY64" s="1" t="s">
        <v>276</v>
      </c>
      <c r="CZ64" s="1" t="s">
        <v>144</v>
      </c>
      <c r="DA64" s="1" t="s">
        <v>145</v>
      </c>
    </row>
    <row r="65" spans="1:105" s="3" customFormat="1" ht="11.25" customHeight="1" x14ac:dyDescent="0.2">
      <c r="A65" s="1">
        <v>41</v>
      </c>
      <c r="B65" s="1" t="s">
        <v>1101</v>
      </c>
      <c r="C65" s="1" t="s">
        <v>1100</v>
      </c>
      <c r="D65" s="1">
        <v>21022</v>
      </c>
      <c r="E65" s="2" t="s">
        <v>4201</v>
      </c>
      <c r="F65" s="1" t="s">
        <v>106</v>
      </c>
      <c r="G65" s="1" t="s">
        <v>1102</v>
      </c>
      <c r="H65" s="1" t="s">
        <v>1103</v>
      </c>
      <c r="I65" s="1" t="s">
        <v>1104</v>
      </c>
      <c r="J65" s="1" t="s">
        <v>113</v>
      </c>
      <c r="L65" s="1" t="s">
        <v>111</v>
      </c>
      <c r="M65" s="1" t="s">
        <v>111</v>
      </c>
      <c r="N65" s="1" t="s">
        <v>151</v>
      </c>
      <c r="O65" s="1" t="s">
        <v>106</v>
      </c>
      <c r="P65" s="1" t="s">
        <v>106</v>
      </c>
      <c r="Q65" s="1" t="s">
        <v>152</v>
      </c>
      <c r="R65" s="1" t="s">
        <v>114</v>
      </c>
      <c r="S65" s="1" t="s">
        <v>1105</v>
      </c>
      <c r="T65" s="1" t="s">
        <v>106</v>
      </c>
      <c r="U65" s="1" t="s">
        <v>1106</v>
      </c>
      <c r="V65" s="1" t="s">
        <v>1107</v>
      </c>
      <c r="W65" s="1" t="s">
        <v>755</v>
      </c>
      <c r="X65" s="1" t="s">
        <v>113</v>
      </c>
      <c r="Y65" s="1" t="s">
        <v>1108</v>
      </c>
      <c r="Z65" s="1">
        <v>100</v>
      </c>
      <c r="AA65" s="1" t="s">
        <v>132</v>
      </c>
      <c r="AB65" s="1" t="s">
        <v>128</v>
      </c>
      <c r="AC65" s="1" t="s">
        <v>118</v>
      </c>
      <c r="AD65" s="1">
        <v>60</v>
      </c>
      <c r="AE65" s="1" t="s">
        <v>116</v>
      </c>
      <c r="AF65" s="1">
        <v>2832</v>
      </c>
      <c r="AG65" s="1" t="s">
        <v>106</v>
      </c>
      <c r="AH65" s="1">
        <v>29</v>
      </c>
      <c r="AI65" s="1">
        <v>46</v>
      </c>
      <c r="AJ65" s="1">
        <v>23</v>
      </c>
      <c r="AK65" s="1" t="s">
        <v>648</v>
      </c>
      <c r="AL65" s="1">
        <v>0</v>
      </c>
      <c r="AM65" s="1" t="s">
        <v>1109</v>
      </c>
      <c r="AN65" s="1">
        <v>0</v>
      </c>
      <c r="AO65" s="1" t="s">
        <v>113</v>
      </c>
      <c r="AP65" s="1" t="s">
        <v>106</v>
      </c>
      <c r="AQ65" s="1" t="s">
        <v>1110</v>
      </c>
      <c r="AR65" s="1" t="s">
        <v>1111</v>
      </c>
      <c r="AS65" s="1" t="s">
        <v>1112</v>
      </c>
      <c r="AT65" s="1" t="s">
        <v>204</v>
      </c>
      <c r="AU65" s="1" t="s">
        <v>106</v>
      </c>
      <c r="AV65" s="1" t="s">
        <v>113</v>
      </c>
      <c r="AW65" s="1" t="s">
        <v>234</v>
      </c>
      <c r="AX65" s="1" t="s">
        <v>1113</v>
      </c>
      <c r="AY65" s="1">
        <v>0</v>
      </c>
      <c r="AZ65" s="1" t="s">
        <v>113</v>
      </c>
      <c r="BA65" s="1" t="s">
        <v>113</v>
      </c>
      <c r="BB65" s="1" t="s">
        <v>125</v>
      </c>
      <c r="BC65" s="1" t="s">
        <v>166</v>
      </c>
      <c r="BD65" s="1">
        <v>0</v>
      </c>
      <c r="BE65" s="1">
        <v>100</v>
      </c>
      <c r="BF65" s="1" t="s">
        <v>167</v>
      </c>
      <c r="BG65" s="1" t="s">
        <v>132</v>
      </c>
      <c r="BH65" s="1" t="s">
        <v>207</v>
      </c>
      <c r="BI65" s="1" t="s">
        <v>207</v>
      </c>
      <c r="BJ65" s="1" t="s">
        <v>208</v>
      </c>
      <c r="BK65" s="1">
        <v>60</v>
      </c>
      <c r="BL65" s="1" t="s">
        <v>270</v>
      </c>
      <c r="BM65" s="1" t="s">
        <v>210</v>
      </c>
      <c r="BN65" s="1">
        <v>9</v>
      </c>
      <c r="BO65" s="1">
        <v>0</v>
      </c>
      <c r="BP65" s="1" t="s">
        <v>115</v>
      </c>
      <c r="BQ65" s="1" t="s">
        <v>704</v>
      </c>
      <c r="BR65" s="1" t="s">
        <v>1114</v>
      </c>
      <c r="BS65" s="1" t="s">
        <v>1115</v>
      </c>
      <c r="BT65" s="1" t="s">
        <v>172</v>
      </c>
      <c r="BU65" s="1" t="s">
        <v>132</v>
      </c>
      <c r="BV65" s="1" t="s">
        <v>1116</v>
      </c>
      <c r="BW65" s="1" t="s">
        <v>298</v>
      </c>
      <c r="BX65" s="1" t="s">
        <v>325</v>
      </c>
      <c r="BY65" s="1" t="s">
        <v>299</v>
      </c>
      <c r="BZ65" s="1" t="s">
        <v>1117</v>
      </c>
      <c r="CA65" s="1">
        <v>2237</v>
      </c>
      <c r="CB65" s="1" t="s">
        <v>244</v>
      </c>
      <c r="CC65" s="1" t="s">
        <v>658</v>
      </c>
      <c r="CD65" s="1" t="s">
        <v>1118</v>
      </c>
      <c r="CE65" s="1" t="s">
        <v>478</v>
      </c>
      <c r="CF65" s="1">
        <v>1169393</v>
      </c>
      <c r="CG65" s="1">
        <v>1698127.96</v>
      </c>
      <c r="CH65" s="1">
        <v>0</v>
      </c>
      <c r="CI65" s="1">
        <v>0</v>
      </c>
      <c r="CJ65" s="1">
        <v>586301.19999999995</v>
      </c>
      <c r="CK65" s="1">
        <v>459122.04</v>
      </c>
      <c r="CL65" s="1">
        <v>0</v>
      </c>
      <c r="CM65" s="1">
        <v>127180</v>
      </c>
      <c r="CN65" s="1">
        <v>0</v>
      </c>
      <c r="CO65" s="1">
        <v>0</v>
      </c>
      <c r="CP65" s="1">
        <v>0</v>
      </c>
      <c r="CQ65" s="1">
        <v>0</v>
      </c>
      <c r="CR65" s="1" t="s">
        <v>139</v>
      </c>
      <c r="CS65" s="1" t="s">
        <v>140</v>
      </c>
      <c r="CT65" s="1" t="s">
        <v>746</v>
      </c>
      <c r="CU65" s="1" t="s">
        <v>617</v>
      </c>
      <c r="CV65" s="1" t="s">
        <v>1119</v>
      </c>
      <c r="CW65" s="1" t="s">
        <v>184</v>
      </c>
      <c r="CX65" s="1" t="s">
        <v>1120</v>
      </c>
      <c r="CY65" s="1" t="s">
        <v>143</v>
      </c>
      <c r="CZ65" s="1" t="s">
        <v>144</v>
      </c>
      <c r="DA65" s="1" t="s">
        <v>145</v>
      </c>
    </row>
    <row r="66" spans="1:105" s="3" customFormat="1" ht="11.25" customHeight="1" x14ac:dyDescent="0.2">
      <c r="A66" s="1">
        <v>41</v>
      </c>
      <c r="B66" s="1" t="s">
        <v>1122</v>
      </c>
      <c r="C66" s="1" t="s">
        <v>1121</v>
      </c>
      <c r="D66" s="1">
        <v>14796</v>
      </c>
      <c r="E66" s="2" t="s">
        <v>4201</v>
      </c>
      <c r="F66" s="1" t="s">
        <v>113</v>
      </c>
      <c r="G66" s="1" t="s">
        <v>1123</v>
      </c>
      <c r="H66" s="1" t="s">
        <v>1124</v>
      </c>
      <c r="I66" s="1" t="s">
        <v>1125</v>
      </c>
      <c r="J66" s="1" t="s">
        <v>113</v>
      </c>
      <c r="K66" s="1"/>
      <c r="L66" s="1" t="s">
        <v>149</v>
      </c>
      <c r="M66" s="1" t="s">
        <v>1126</v>
      </c>
      <c r="N66" s="1" t="s">
        <v>151</v>
      </c>
      <c r="O66" s="1" t="s">
        <v>113</v>
      </c>
      <c r="P66" s="1" t="s">
        <v>113</v>
      </c>
      <c r="Q66" s="1" t="s">
        <v>195</v>
      </c>
      <c r="R66" s="1" t="s">
        <v>1127</v>
      </c>
      <c r="S66" s="1" t="s">
        <v>114</v>
      </c>
      <c r="T66" s="1" t="s">
        <v>106</v>
      </c>
      <c r="U66" s="1" t="s">
        <v>1128</v>
      </c>
      <c r="V66" s="1" t="s">
        <v>447</v>
      </c>
      <c r="W66" s="1" t="s">
        <v>115</v>
      </c>
      <c r="X66" s="1" t="s">
        <v>113</v>
      </c>
      <c r="Y66" s="1"/>
      <c r="Z66" s="1">
        <v>100</v>
      </c>
      <c r="AA66" s="1" t="s">
        <v>159</v>
      </c>
      <c r="AB66" s="1" t="s">
        <v>128</v>
      </c>
      <c r="AC66" s="1" t="s">
        <v>128</v>
      </c>
      <c r="AD66" s="1">
        <v>0</v>
      </c>
      <c r="AE66" s="1" t="s">
        <v>1129</v>
      </c>
      <c r="AF66" s="1">
        <v>2118</v>
      </c>
      <c r="AG66" s="1" t="s">
        <v>106</v>
      </c>
      <c r="AH66" s="1">
        <v>47</v>
      </c>
      <c r="AI66" s="1">
        <v>26</v>
      </c>
      <c r="AJ66" s="1">
        <v>27</v>
      </c>
      <c r="AK66" s="1" t="s">
        <v>796</v>
      </c>
      <c r="AL66" s="1">
        <v>0</v>
      </c>
      <c r="AM66" s="1" t="s">
        <v>1130</v>
      </c>
      <c r="AN66" s="1">
        <v>0</v>
      </c>
      <c r="AO66" s="1" t="s">
        <v>113</v>
      </c>
      <c r="AP66" s="1" t="s">
        <v>106</v>
      </c>
      <c r="AQ66" s="1" t="s">
        <v>1131</v>
      </c>
      <c r="AR66" s="1" t="s">
        <v>1132</v>
      </c>
      <c r="AS66" s="1" t="s">
        <v>1133</v>
      </c>
      <c r="AT66" s="1" t="s">
        <v>1134</v>
      </c>
      <c r="AU66" s="1" t="s">
        <v>113</v>
      </c>
      <c r="AV66" s="1" t="s">
        <v>113</v>
      </c>
      <c r="AW66" s="1" t="s">
        <v>164</v>
      </c>
      <c r="AX66" s="1" t="s">
        <v>550</v>
      </c>
      <c r="AY66" s="1">
        <v>0</v>
      </c>
      <c r="AZ66" s="1" t="s">
        <v>113</v>
      </c>
      <c r="BA66" s="1" t="s">
        <v>113</v>
      </c>
      <c r="BB66" s="1" t="s">
        <v>125</v>
      </c>
      <c r="BC66" s="1"/>
      <c r="BD66" s="1">
        <v>0</v>
      </c>
      <c r="BE66" s="1">
        <v>100</v>
      </c>
      <c r="BF66" s="1" t="s">
        <v>167</v>
      </c>
      <c r="BG66" s="1" t="s">
        <v>383</v>
      </c>
      <c r="BH66" s="1" t="s">
        <v>269</v>
      </c>
      <c r="BI66" s="1" t="s">
        <v>269</v>
      </c>
      <c r="BJ66" s="1" t="s">
        <v>384</v>
      </c>
      <c r="BK66" s="1">
        <v>100</v>
      </c>
      <c r="BL66" s="1" t="s">
        <v>270</v>
      </c>
      <c r="BM66" s="1" t="s">
        <v>210</v>
      </c>
      <c r="BN66" s="1">
        <v>7</v>
      </c>
      <c r="BO66" s="1">
        <v>10</v>
      </c>
      <c r="BP66" s="1" t="s">
        <v>115</v>
      </c>
      <c r="BQ66" s="1" t="s">
        <v>1135</v>
      </c>
      <c r="BR66" s="1" t="s">
        <v>1136</v>
      </c>
      <c r="BS66" s="1" t="s">
        <v>1137</v>
      </c>
      <c r="BT66" s="1" t="s">
        <v>172</v>
      </c>
      <c r="BU66" s="1" t="s">
        <v>132</v>
      </c>
      <c r="BV66" s="1" t="s">
        <v>174</v>
      </c>
      <c r="BW66" s="1" t="s">
        <v>134</v>
      </c>
      <c r="BX66" s="1" t="s">
        <v>1138</v>
      </c>
      <c r="BY66" s="1" t="s">
        <v>135</v>
      </c>
      <c r="BZ66" s="1" t="s">
        <v>1139</v>
      </c>
      <c r="CA66" s="1">
        <v>2340</v>
      </c>
      <c r="CB66" s="1" t="s">
        <v>216</v>
      </c>
      <c r="CC66" s="1" t="s">
        <v>217</v>
      </c>
      <c r="CD66" s="1" t="s">
        <v>1140</v>
      </c>
      <c r="CE66" s="1" t="s">
        <v>219</v>
      </c>
      <c r="CF66" s="1">
        <v>282686</v>
      </c>
      <c r="CG66" s="1">
        <v>1937498</v>
      </c>
      <c r="CH66" s="1">
        <v>362</v>
      </c>
      <c r="CI66" s="1">
        <v>0</v>
      </c>
      <c r="CJ66" s="1">
        <v>327</v>
      </c>
      <c r="CK66" s="1">
        <v>223</v>
      </c>
      <c r="CL66" s="1">
        <v>351</v>
      </c>
      <c r="CM66" s="1">
        <v>345</v>
      </c>
      <c r="CN66" s="1">
        <v>0</v>
      </c>
      <c r="CO66" s="1">
        <v>0</v>
      </c>
      <c r="CP66" s="1">
        <v>0</v>
      </c>
      <c r="CQ66" s="1">
        <v>0</v>
      </c>
      <c r="CR66" s="1" t="s">
        <v>139</v>
      </c>
      <c r="CS66" s="1" t="s">
        <v>140</v>
      </c>
      <c r="CT66" s="1" t="s">
        <v>282</v>
      </c>
      <c r="CU66" s="1" t="s">
        <v>1032</v>
      </c>
      <c r="CV66" s="1" t="s">
        <v>439</v>
      </c>
      <c r="CW66" s="1" t="s">
        <v>184</v>
      </c>
      <c r="CX66" s="1" t="s">
        <v>1141</v>
      </c>
      <c r="CY66" s="1" t="s">
        <v>276</v>
      </c>
      <c r="CZ66" s="1" t="s">
        <v>144</v>
      </c>
      <c r="DA66" s="1" t="s">
        <v>145</v>
      </c>
    </row>
    <row r="67" spans="1:105" s="3" customFormat="1" ht="11.25" customHeight="1" x14ac:dyDescent="0.2">
      <c r="A67" s="1">
        <v>41</v>
      </c>
      <c r="B67" s="1" t="s">
        <v>1142</v>
      </c>
      <c r="C67" s="1" t="s">
        <v>1143</v>
      </c>
      <c r="D67" s="1">
        <v>4045</v>
      </c>
      <c r="E67" s="2" t="s">
        <v>1688</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M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s="3" customFormat="1" ht="11.25" customHeight="1" x14ac:dyDescent="0.2">
      <c r="A68" s="1">
        <v>41</v>
      </c>
      <c r="B68" s="1" t="s">
        <v>1145</v>
      </c>
      <c r="C68" s="1" t="s">
        <v>1144</v>
      </c>
      <c r="D68" s="1">
        <v>24159</v>
      </c>
      <c r="E68" s="2" t="s">
        <v>4201</v>
      </c>
      <c r="F68" s="1" t="s">
        <v>113</v>
      </c>
      <c r="G68" s="1" t="s">
        <v>190</v>
      </c>
      <c r="H68" s="1" t="s">
        <v>1146</v>
      </c>
      <c r="I68" s="1" t="s">
        <v>229</v>
      </c>
      <c r="J68" s="1" t="s">
        <v>229</v>
      </c>
      <c r="K68" s="1" t="s">
        <v>1147</v>
      </c>
      <c r="L68" s="1" t="s">
        <v>401</v>
      </c>
      <c r="M68" s="1" t="s">
        <v>1148</v>
      </c>
      <c r="N68" s="1" t="s">
        <v>1149</v>
      </c>
      <c r="O68" s="1" t="s">
        <v>106</v>
      </c>
      <c r="P68" s="1" t="s">
        <v>113</v>
      </c>
      <c r="Q68" s="1" t="s">
        <v>111</v>
      </c>
      <c r="R68" s="1" t="s">
        <v>127</v>
      </c>
      <c r="S68" s="1" t="s">
        <v>127</v>
      </c>
      <c r="T68" s="1" t="s">
        <v>113</v>
      </c>
      <c r="U68" s="1" t="s">
        <v>127</v>
      </c>
      <c r="V68" s="1" t="s">
        <v>1150</v>
      </c>
      <c r="W68" s="1" t="s">
        <v>115</v>
      </c>
      <c r="X68" s="1" t="s">
        <v>113</v>
      </c>
      <c r="Y68" s="1" t="s">
        <v>127</v>
      </c>
      <c r="Z68" s="1">
        <v>100</v>
      </c>
      <c r="AA68" s="1" t="s">
        <v>132</v>
      </c>
      <c r="AB68" s="1" t="s">
        <v>117</v>
      </c>
      <c r="AC68" s="1" t="s">
        <v>384</v>
      </c>
      <c r="AD68" s="1">
        <v>100</v>
      </c>
      <c r="AE68" s="1" t="s">
        <v>132</v>
      </c>
      <c r="AF68" s="1">
        <v>3600</v>
      </c>
      <c r="AG68" s="1" t="s">
        <v>113</v>
      </c>
      <c r="AH68" s="1">
        <v>0</v>
      </c>
      <c r="AI68" s="1">
        <v>0</v>
      </c>
      <c r="AJ68" s="1">
        <v>0</v>
      </c>
      <c r="AK68" s="1" t="s">
        <v>626</v>
      </c>
      <c r="AL68" s="1">
        <v>70</v>
      </c>
      <c r="AM68" s="1" t="s">
        <v>363</v>
      </c>
      <c r="AN68" s="1">
        <v>70</v>
      </c>
      <c r="AO68" s="1" t="s">
        <v>113</v>
      </c>
      <c r="AP68" s="1" t="s">
        <v>113</v>
      </c>
      <c r="AQ68" s="1" t="s">
        <v>127</v>
      </c>
      <c r="AR68" s="1" t="s">
        <v>127</v>
      </c>
      <c r="AS68" s="1" t="s">
        <v>127</v>
      </c>
      <c r="AT68" s="1" t="s">
        <v>123</v>
      </c>
      <c r="AU68" s="1" t="s">
        <v>113</v>
      </c>
      <c r="AV68" s="1" t="s">
        <v>113</v>
      </c>
      <c r="AW68" s="1" t="s">
        <v>164</v>
      </c>
      <c r="AX68" s="1" t="s">
        <v>165</v>
      </c>
      <c r="AY68" s="1">
        <v>0</v>
      </c>
      <c r="AZ68" s="1" t="s">
        <v>113</v>
      </c>
      <c r="BA68" s="1" t="s">
        <v>113</v>
      </c>
      <c r="BB68" s="1" t="s">
        <v>125</v>
      </c>
      <c r="BC68" s="1" t="s">
        <v>166</v>
      </c>
      <c r="BD68" s="1">
        <v>0</v>
      </c>
      <c r="BE68" s="1">
        <v>90</v>
      </c>
      <c r="BF68" s="1" t="s">
        <v>630</v>
      </c>
      <c r="BG68" s="1" t="s">
        <v>268</v>
      </c>
      <c r="BH68" s="1" t="s">
        <v>269</v>
      </c>
      <c r="BI68" s="1" t="s">
        <v>269</v>
      </c>
      <c r="BJ68" s="1" t="s">
        <v>208</v>
      </c>
      <c r="BK68" s="1">
        <v>70</v>
      </c>
      <c r="BL68" s="1" t="s">
        <v>1151</v>
      </c>
      <c r="BM68" s="1" t="s">
        <v>271</v>
      </c>
      <c r="BN68" s="1">
        <v>32</v>
      </c>
      <c r="BO68" s="1">
        <v>0</v>
      </c>
      <c r="BP68" s="1" t="s">
        <v>115</v>
      </c>
      <c r="BQ68" s="1" t="s">
        <v>127</v>
      </c>
      <c r="BR68" s="1" t="s">
        <v>127</v>
      </c>
      <c r="BS68" s="1" t="s">
        <v>127</v>
      </c>
      <c r="BT68" s="1" t="s">
        <v>172</v>
      </c>
      <c r="BU68" s="1" t="s">
        <v>132</v>
      </c>
      <c r="BV68" s="1" t="s">
        <v>1152</v>
      </c>
      <c r="BW68" s="1" t="s">
        <v>134</v>
      </c>
      <c r="BX68" s="1" t="s">
        <v>175</v>
      </c>
      <c r="BY68" s="1" t="s">
        <v>135</v>
      </c>
      <c r="BZ68" s="1" t="s">
        <v>127</v>
      </c>
      <c r="CA68" s="1">
        <v>0</v>
      </c>
      <c r="CB68" s="1" t="s">
        <v>244</v>
      </c>
      <c r="CC68" s="1" t="s">
        <v>217</v>
      </c>
      <c r="CD68" s="1" t="s">
        <v>1153</v>
      </c>
      <c r="CE68" s="1" t="s">
        <v>219</v>
      </c>
      <c r="CF68" s="1">
        <v>200000</v>
      </c>
      <c r="CG68" s="1">
        <v>2300000</v>
      </c>
      <c r="CH68" s="1">
        <v>1640000</v>
      </c>
      <c r="CI68" s="1">
        <v>660000</v>
      </c>
      <c r="CJ68" s="1">
        <v>2300000</v>
      </c>
      <c r="CK68" s="1">
        <v>660000</v>
      </c>
      <c r="CL68" s="1">
        <v>0</v>
      </c>
      <c r="CM68" s="1">
        <v>21000</v>
      </c>
      <c r="CN68" s="1">
        <v>0</v>
      </c>
      <c r="CO68" s="1">
        <v>0</v>
      </c>
      <c r="CP68" s="1">
        <v>0</v>
      </c>
      <c r="CQ68" s="1">
        <v>0</v>
      </c>
      <c r="CR68" s="1" t="s">
        <v>139</v>
      </c>
      <c r="CS68" s="1" t="s">
        <v>308</v>
      </c>
      <c r="CT68" s="1" t="s">
        <v>1154</v>
      </c>
      <c r="CU68" s="1"/>
      <c r="CV68" s="1"/>
      <c r="CW68" s="1" t="s">
        <v>251</v>
      </c>
      <c r="CX68" s="1" t="s">
        <v>157</v>
      </c>
      <c r="CY68" s="1" t="s">
        <v>157</v>
      </c>
      <c r="CZ68" s="1" t="s">
        <v>144</v>
      </c>
      <c r="DA68" s="1" t="s">
        <v>145</v>
      </c>
    </row>
    <row r="69" spans="1:105" s="3" customFormat="1" ht="11.25" customHeight="1" x14ac:dyDescent="0.2">
      <c r="A69" s="1">
        <v>41</v>
      </c>
      <c r="B69" s="1" t="s">
        <v>1156</v>
      </c>
      <c r="C69" s="1" t="s">
        <v>1155</v>
      </c>
      <c r="D69" s="1">
        <v>17567</v>
      </c>
      <c r="E69" s="2" t="s">
        <v>4201</v>
      </c>
      <c r="F69" s="1" t="s">
        <v>113</v>
      </c>
      <c r="G69" s="1" t="s">
        <v>190</v>
      </c>
      <c r="H69" s="1" t="s">
        <v>504</v>
      </c>
      <c r="I69" s="1" t="s">
        <v>229</v>
      </c>
      <c r="J69" s="1" t="s">
        <v>229</v>
      </c>
      <c r="L69" s="1" t="s">
        <v>111</v>
      </c>
      <c r="M69" s="1" t="s">
        <v>1157</v>
      </c>
      <c r="N69" s="1" t="s">
        <v>112</v>
      </c>
      <c r="O69" s="1" t="s">
        <v>113</v>
      </c>
      <c r="P69" s="1" t="s">
        <v>113</v>
      </c>
      <c r="Q69" s="1" t="s">
        <v>152</v>
      </c>
      <c r="R69" s="1" t="s">
        <v>114</v>
      </c>
      <c r="S69" s="1" t="s">
        <v>1158</v>
      </c>
      <c r="T69" s="1" t="s">
        <v>106</v>
      </c>
      <c r="U69" s="1" t="s">
        <v>1159</v>
      </c>
      <c r="V69" s="1" t="s">
        <v>1160</v>
      </c>
      <c r="W69" s="1" t="s">
        <v>755</v>
      </c>
      <c r="X69" s="1" t="s">
        <v>113</v>
      </c>
      <c r="Y69" s="1" t="s">
        <v>114</v>
      </c>
      <c r="Z69" s="1">
        <v>100</v>
      </c>
      <c r="AA69" s="1" t="s">
        <v>132</v>
      </c>
      <c r="AB69" s="1" t="s">
        <v>117</v>
      </c>
      <c r="AC69" s="1" t="s">
        <v>118</v>
      </c>
      <c r="AD69" s="1">
        <v>30</v>
      </c>
      <c r="AE69" s="1" t="s">
        <v>132</v>
      </c>
      <c r="AF69" s="1">
        <v>1</v>
      </c>
      <c r="AG69" s="1" t="s">
        <v>106</v>
      </c>
      <c r="AH69" s="1">
        <v>27</v>
      </c>
      <c r="AI69" s="1">
        <v>30</v>
      </c>
      <c r="AJ69" s="1">
        <v>43</v>
      </c>
      <c r="AK69" s="1" t="s">
        <v>626</v>
      </c>
      <c r="AL69" s="1">
        <v>90</v>
      </c>
      <c r="AM69" s="1" t="s">
        <v>1161</v>
      </c>
      <c r="AN69" s="1">
        <v>0</v>
      </c>
      <c r="AO69" s="1" t="s">
        <v>113</v>
      </c>
      <c r="AP69" s="1" t="s">
        <v>106</v>
      </c>
      <c r="AQ69" s="1" t="s">
        <v>1162</v>
      </c>
      <c r="AR69" s="1" t="s">
        <v>1163</v>
      </c>
      <c r="AS69" s="1" t="s">
        <v>1164</v>
      </c>
      <c r="AT69" s="1" t="s">
        <v>123</v>
      </c>
      <c r="AU69" s="1" t="s">
        <v>113</v>
      </c>
      <c r="AV69" s="1" t="s">
        <v>113</v>
      </c>
      <c r="AW69" s="1" t="s">
        <v>164</v>
      </c>
      <c r="AY69" s="1">
        <v>0</v>
      </c>
      <c r="AZ69" s="1" t="s">
        <v>106</v>
      </c>
      <c r="BA69" s="1" t="s">
        <v>113</v>
      </c>
      <c r="BB69" s="1" t="s">
        <v>125</v>
      </c>
      <c r="BD69" s="1">
        <v>0</v>
      </c>
      <c r="BE69" s="1">
        <v>100</v>
      </c>
      <c r="BF69" s="1" t="s">
        <v>1165</v>
      </c>
      <c r="BG69" s="1" t="s">
        <v>132</v>
      </c>
      <c r="BJ69" s="1" t="s">
        <v>208</v>
      </c>
      <c r="BK69" s="1">
        <v>30</v>
      </c>
      <c r="BL69" s="1" t="s">
        <v>209</v>
      </c>
      <c r="BM69" s="1" t="s">
        <v>472</v>
      </c>
      <c r="BN69" s="1">
        <v>12</v>
      </c>
      <c r="BO69" s="1">
        <v>4</v>
      </c>
      <c r="BP69" s="1" t="s">
        <v>115</v>
      </c>
      <c r="BQ69" s="1" t="s">
        <v>1166</v>
      </c>
      <c r="BR69" s="1" t="s">
        <v>1167</v>
      </c>
      <c r="BS69" s="1" t="s">
        <v>1168</v>
      </c>
      <c r="BT69" s="1" t="s">
        <v>535</v>
      </c>
      <c r="BU69" s="1" t="s">
        <v>173</v>
      </c>
      <c r="BV69" s="1" t="s">
        <v>594</v>
      </c>
      <c r="BW69" s="1" t="s">
        <v>298</v>
      </c>
      <c r="BX69" s="1" t="s">
        <v>325</v>
      </c>
      <c r="BY69" s="1" t="s">
        <v>1169</v>
      </c>
      <c r="BZ69" s="1" t="s">
        <v>1170</v>
      </c>
      <c r="CA69" s="1">
        <v>360</v>
      </c>
      <c r="CB69" s="1" t="s">
        <v>244</v>
      </c>
      <c r="CC69" s="1" t="s">
        <v>177</v>
      </c>
      <c r="CD69" s="1" t="s">
        <v>1171</v>
      </c>
      <c r="CE69" s="1" t="s">
        <v>179</v>
      </c>
      <c r="CF69" s="1">
        <v>1142500.68</v>
      </c>
      <c r="CG69" s="1">
        <v>3257247.96</v>
      </c>
      <c r="CH69" s="1" t="s">
        <v>1172</v>
      </c>
      <c r="CI69" s="1">
        <v>185</v>
      </c>
      <c r="CJ69" s="1" t="s">
        <v>1173</v>
      </c>
      <c r="CK69" s="1" t="s">
        <v>1174</v>
      </c>
      <c r="CL69" s="1">
        <v>0</v>
      </c>
      <c r="CM69" s="1">
        <v>0</v>
      </c>
      <c r="CN69" s="1">
        <v>35000</v>
      </c>
      <c r="CO69" s="1">
        <v>0</v>
      </c>
      <c r="CP69" s="1">
        <v>1507544</v>
      </c>
      <c r="CQ69" s="1">
        <v>0</v>
      </c>
      <c r="CR69" s="1" t="s">
        <v>139</v>
      </c>
      <c r="CS69" s="1" t="s">
        <v>140</v>
      </c>
      <c r="CT69" s="1" t="s">
        <v>282</v>
      </c>
      <c r="CW69" s="1" t="s">
        <v>284</v>
      </c>
      <c r="CX69" s="1" t="s">
        <v>1175</v>
      </c>
      <c r="CY69" s="1" t="s">
        <v>1176</v>
      </c>
      <c r="CZ69" s="1" t="s">
        <v>144</v>
      </c>
      <c r="DA69" s="1" t="s">
        <v>145</v>
      </c>
    </row>
    <row r="70" spans="1:105" s="3" customFormat="1" ht="11.25" customHeight="1" x14ac:dyDescent="0.2">
      <c r="A70" s="1">
        <v>41</v>
      </c>
      <c r="B70" s="1" t="s">
        <v>1177</v>
      </c>
      <c r="C70" s="1" t="s">
        <v>388</v>
      </c>
      <c r="D70" s="1">
        <v>364104</v>
      </c>
      <c r="E70" s="2" t="s">
        <v>4201</v>
      </c>
      <c r="F70" s="1" t="s">
        <v>113</v>
      </c>
      <c r="H70" s="1" t="s">
        <v>1178</v>
      </c>
      <c r="I70" s="1" t="s">
        <v>229</v>
      </c>
      <c r="J70" s="1" t="s">
        <v>229</v>
      </c>
      <c r="L70" s="1" t="s">
        <v>111</v>
      </c>
      <c r="M70" s="1" t="s">
        <v>111</v>
      </c>
      <c r="N70" s="1" t="s">
        <v>484</v>
      </c>
      <c r="O70" s="1" t="s">
        <v>106</v>
      </c>
      <c r="P70" s="1" t="s">
        <v>106</v>
      </c>
      <c r="Q70" s="1" t="s">
        <v>195</v>
      </c>
      <c r="R70" s="1" t="s">
        <v>1179</v>
      </c>
      <c r="S70" s="1" t="s">
        <v>114</v>
      </c>
      <c r="T70" s="1" t="s">
        <v>106</v>
      </c>
      <c r="U70" s="1" t="s">
        <v>1180</v>
      </c>
      <c r="V70" s="1" t="s">
        <v>1181</v>
      </c>
      <c r="W70" s="1" t="s">
        <v>115</v>
      </c>
      <c r="X70" s="1" t="s">
        <v>106</v>
      </c>
      <c r="Y70" s="1" t="s">
        <v>1182</v>
      </c>
      <c r="Z70" s="1">
        <v>100</v>
      </c>
      <c r="AA70" s="1" t="s">
        <v>132</v>
      </c>
      <c r="AB70" s="1" t="s">
        <v>117</v>
      </c>
      <c r="AC70" s="1" t="s">
        <v>118</v>
      </c>
      <c r="AD70" s="1">
        <v>80</v>
      </c>
      <c r="AE70" s="1" t="s">
        <v>132</v>
      </c>
      <c r="AF70" s="1">
        <v>104754</v>
      </c>
      <c r="AG70" s="1" t="s">
        <v>106</v>
      </c>
      <c r="AH70" s="1" t="s">
        <v>1183</v>
      </c>
      <c r="AI70" s="1" t="s">
        <v>1184</v>
      </c>
      <c r="AJ70" s="1" t="s">
        <v>1185</v>
      </c>
      <c r="AK70" s="1" t="s">
        <v>232</v>
      </c>
      <c r="AL70" s="1">
        <v>75078</v>
      </c>
      <c r="AM70" s="1" t="s">
        <v>1186</v>
      </c>
      <c r="AN70" s="1">
        <v>75078</v>
      </c>
      <c r="AO70" s="1" t="s">
        <v>113</v>
      </c>
      <c r="AP70" s="1" t="s">
        <v>113</v>
      </c>
      <c r="AQ70" s="1" t="s">
        <v>114</v>
      </c>
      <c r="AR70" s="1" t="s">
        <v>114</v>
      </c>
      <c r="AS70" s="1" t="s">
        <v>114</v>
      </c>
      <c r="AT70" s="1" t="s">
        <v>204</v>
      </c>
      <c r="AU70" s="1" t="s">
        <v>113</v>
      </c>
      <c r="AV70" s="1" t="s">
        <v>113</v>
      </c>
      <c r="AW70" s="1" t="s">
        <v>164</v>
      </c>
      <c r="AX70" s="1" t="s">
        <v>206</v>
      </c>
      <c r="AY70" s="1">
        <v>468</v>
      </c>
      <c r="AZ70" s="1" t="s">
        <v>113</v>
      </c>
      <c r="BA70" s="1" t="s">
        <v>113</v>
      </c>
      <c r="BB70" s="1" t="s">
        <v>125</v>
      </c>
      <c r="BC70" s="1" t="s">
        <v>166</v>
      </c>
      <c r="BD70" s="1">
        <v>0</v>
      </c>
      <c r="BE70" s="1">
        <v>100</v>
      </c>
      <c r="BF70" s="1" t="s">
        <v>1187</v>
      </c>
      <c r="BG70" s="1" t="s">
        <v>1188</v>
      </c>
      <c r="BH70" s="1" t="s">
        <v>450</v>
      </c>
      <c r="BI70" s="1" t="s">
        <v>169</v>
      </c>
      <c r="BJ70" s="1" t="s">
        <v>208</v>
      </c>
      <c r="BK70" s="1">
        <v>80</v>
      </c>
      <c r="BL70" s="1" t="s">
        <v>127</v>
      </c>
      <c r="BM70" s="1" t="s">
        <v>114</v>
      </c>
      <c r="BN70" s="1">
        <v>137</v>
      </c>
      <c r="BO70" s="1">
        <v>0</v>
      </c>
      <c r="BP70" s="1" t="s">
        <v>124</v>
      </c>
      <c r="BQ70" s="1" t="s">
        <v>388</v>
      </c>
      <c r="BR70" s="1" t="s">
        <v>1189</v>
      </c>
      <c r="BS70" s="1" t="s">
        <v>1190</v>
      </c>
      <c r="BT70" s="1" t="s">
        <v>172</v>
      </c>
      <c r="BU70" s="1" t="s">
        <v>132</v>
      </c>
      <c r="BV70" s="1" t="s">
        <v>1191</v>
      </c>
      <c r="BW70" s="1" t="s">
        <v>134</v>
      </c>
      <c r="BX70" s="1" t="s">
        <v>135</v>
      </c>
      <c r="BY70" s="1" t="s">
        <v>135</v>
      </c>
      <c r="BZ70" s="1" t="s">
        <v>517</v>
      </c>
      <c r="CA70" s="1">
        <v>104754</v>
      </c>
      <c r="CB70" s="1" t="s">
        <v>216</v>
      </c>
      <c r="CC70" s="1" t="s">
        <v>1192</v>
      </c>
      <c r="CD70" s="1" t="s">
        <v>1193</v>
      </c>
      <c r="CE70" s="1" t="s">
        <v>1194</v>
      </c>
      <c r="CF70" s="6">
        <v>40911161.789999999</v>
      </c>
      <c r="CG70" s="6">
        <v>29506253.879999999</v>
      </c>
      <c r="CH70" s="1">
        <v>281.67</v>
      </c>
      <c r="CI70" s="1">
        <v>0</v>
      </c>
      <c r="CJ70" s="1">
        <v>51.04</v>
      </c>
      <c r="CK70" s="6">
        <v>1945.24</v>
      </c>
      <c r="CL70" s="1">
        <v>0</v>
      </c>
      <c r="CM70" s="1" t="s">
        <v>1195</v>
      </c>
      <c r="CN70" s="1">
        <v>0</v>
      </c>
      <c r="CO70" s="1">
        <v>0</v>
      </c>
      <c r="CP70" s="1">
        <v>0</v>
      </c>
      <c r="CQ70" s="1">
        <v>0</v>
      </c>
      <c r="CR70" s="1" t="s">
        <v>139</v>
      </c>
      <c r="CS70" s="1" t="s">
        <v>140</v>
      </c>
      <c r="CT70" s="1" t="s">
        <v>1196</v>
      </c>
      <c r="CU70" s="1" t="s">
        <v>1197</v>
      </c>
      <c r="CV70" s="1" t="s">
        <v>1198</v>
      </c>
      <c r="CW70" s="1" t="s">
        <v>251</v>
      </c>
      <c r="CX70" s="1" t="s">
        <v>114</v>
      </c>
      <c r="CY70" s="1" t="s">
        <v>114</v>
      </c>
      <c r="CZ70" s="1" t="s">
        <v>144</v>
      </c>
      <c r="DA70" s="1" t="s">
        <v>145</v>
      </c>
    </row>
    <row r="71" spans="1:105" s="3" customFormat="1" ht="11.25" customHeight="1" x14ac:dyDescent="0.2">
      <c r="A71" s="1">
        <v>41</v>
      </c>
      <c r="B71" s="1" t="s">
        <v>1200</v>
      </c>
      <c r="C71" s="1" t="s">
        <v>1199</v>
      </c>
      <c r="D71" s="1">
        <v>75291</v>
      </c>
      <c r="E71" s="2" t="s">
        <v>4201</v>
      </c>
      <c r="F71" s="1" t="s">
        <v>113</v>
      </c>
      <c r="H71" s="1" t="s">
        <v>1201</v>
      </c>
      <c r="I71" s="1" t="s">
        <v>229</v>
      </c>
      <c r="J71" s="1" t="s">
        <v>229</v>
      </c>
      <c r="L71" s="1" t="s">
        <v>111</v>
      </c>
      <c r="M71" s="1" t="s">
        <v>705</v>
      </c>
      <c r="N71" s="1" t="s">
        <v>940</v>
      </c>
      <c r="O71" s="1" t="s">
        <v>106</v>
      </c>
      <c r="P71" s="1" t="s">
        <v>113</v>
      </c>
      <c r="Q71" s="1" t="s">
        <v>195</v>
      </c>
      <c r="R71" s="1" t="s">
        <v>1202</v>
      </c>
      <c r="S71" s="1" t="s">
        <v>709</v>
      </c>
      <c r="T71" s="1" t="s">
        <v>106</v>
      </c>
      <c r="U71" s="1" t="s">
        <v>1202</v>
      </c>
      <c r="V71" s="1" t="s">
        <v>1203</v>
      </c>
      <c r="W71" s="1" t="s">
        <v>115</v>
      </c>
      <c r="X71" s="1" t="s">
        <v>113</v>
      </c>
      <c r="Y71" s="1" t="s">
        <v>709</v>
      </c>
      <c r="Z71" s="1">
        <v>100</v>
      </c>
      <c r="AA71" s="1" t="s">
        <v>132</v>
      </c>
      <c r="AB71" s="1" t="s">
        <v>117</v>
      </c>
      <c r="AC71" s="1" t="s">
        <v>118</v>
      </c>
      <c r="AD71" s="1">
        <v>48</v>
      </c>
      <c r="AE71" s="1" t="s">
        <v>132</v>
      </c>
      <c r="AF71" s="1">
        <v>14720</v>
      </c>
      <c r="AG71" s="1" t="s">
        <v>113</v>
      </c>
      <c r="AH71" s="1">
        <v>0</v>
      </c>
      <c r="AI71" s="1">
        <v>0</v>
      </c>
      <c r="AJ71" s="1">
        <v>0</v>
      </c>
      <c r="AK71" s="1" t="s">
        <v>263</v>
      </c>
      <c r="AM71" s="1" t="s">
        <v>1204</v>
      </c>
      <c r="AO71" s="1" t="s">
        <v>113</v>
      </c>
      <c r="AP71" s="1" t="s">
        <v>113</v>
      </c>
      <c r="AQ71" s="1" t="s">
        <v>1205</v>
      </c>
      <c r="AR71" s="1" t="s">
        <v>709</v>
      </c>
      <c r="AS71" s="1" t="s">
        <v>709</v>
      </c>
      <c r="AT71" s="1" t="s">
        <v>204</v>
      </c>
      <c r="AU71" s="1" t="s">
        <v>106</v>
      </c>
      <c r="AV71" s="1" t="s">
        <v>106</v>
      </c>
      <c r="AW71" s="1" t="s">
        <v>234</v>
      </c>
      <c r="AX71" s="1" t="s">
        <v>206</v>
      </c>
      <c r="AY71" s="1">
        <v>0</v>
      </c>
      <c r="AZ71" s="1" t="s">
        <v>113</v>
      </c>
      <c r="BA71" s="1" t="s">
        <v>113</v>
      </c>
      <c r="BB71" s="1" t="s">
        <v>125</v>
      </c>
      <c r="BC71" s="1" t="s">
        <v>166</v>
      </c>
      <c r="BD71" s="1">
        <v>0</v>
      </c>
      <c r="BE71" s="1">
        <v>100</v>
      </c>
      <c r="BF71" s="1" t="s">
        <v>1206</v>
      </c>
      <c r="BG71" s="1" t="s">
        <v>132</v>
      </c>
      <c r="BH71" s="1" t="s">
        <v>168</v>
      </c>
      <c r="BI71" s="1" t="s">
        <v>269</v>
      </c>
      <c r="BJ71" s="1" t="s">
        <v>208</v>
      </c>
      <c r="BK71" s="1">
        <v>48</v>
      </c>
      <c r="BL71" s="1" t="s">
        <v>209</v>
      </c>
      <c r="BM71" s="1" t="s">
        <v>472</v>
      </c>
      <c r="BN71" s="1">
        <v>145</v>
      </c>
      <c r="BP71" s="1" t="s">
        <v>124</v>
      </c>
      <c r="BQ71" s="1" t="s">
        <v>1207</v>
      </c>
      <c r="BR71" s="1" t="s">
        <v>1208</v>
      </c>
      <c r="BS71" s="1" t="s">
        <v>1209</v>
      </c>
      <c r="BT71" s="1" t="s">
        <v>172</v>
      </c>
      <c r="BU71" s="1" t="s">
        <v>132</v>
      </c>
      <c r="BV71" s="1" t="s">
        <v>1210</v>
      </c>
      <c r="BW71" s="1" t="s">
        <v>134</v>
      </c>
      <c r="BX71" s="1" t="s">
        <v>633</v>
      </c>
      <c r="BY71" s="1" t="s">
        <v>135</v>
      </c>
      <c r="BZ71" s="1" t="s">
        <v>1211</v>
      </c>
      <c r="CA71" s="1">
        <v>14720</v>
      </c>
      <c r="CB71" s="1" t="s">
        <v>244</v>
      </c>
      <c r="CC71" s="1" t="s">
        <v>217</v>
      </c>
      <c r="CD71" s="1" t="s">
        <v>1212</v>
      </c>
      <c r="CE71" s="1" t="s">
        <v>219</v>
      </c>
      <c r="CF71" s="1">
        <v>5470651.5899999999</v>
      </c>
      <c r="CG71" s="1">
        <v>5922323.54</v>
      </c>
      <c r="CH71" s="1">
        <v>2718327.46</v>
      </c>
      <c r="CI71" s="1">
        <v>0</v>
      </c>
      <c r="CJ71" s="1">
        <v>1133503.45</v>
      </c>
      <c r="CK71" s="1">
        <v>530489.1</v>
      </c>
      <c r="CL71" s="1">
        <v>0</v>
      </c>
      <c r="CM71" s="1">
        <v>0</v>
      </c>
      <c r="CN71" s="1">
        <v>1735120</v>
      </c>
      <c r="CO71" s="1">
        <v>0</v>
      </c>
      <c r="CP71" s="1">
        <v>0</v>
      </c>
      <c r="CQ71" s="1">
        <v>0</v>
      </c>
      <c r="CR71" s="1" t="s">
        <v>139</v>
      </c>
      <c r="CS71" s="1" t="s">
        <v>140</v>
      </c>
      <c r="CT71" s="1" t="s">
        <v>394</v>
      </c>
      <c r="CU71" s="1" t="s">
        <v>249</v>
      </c>
      <c r="CV71" s="1" t="s">
        <v>1213</v>
      </c>
      <c r="CW71" s="1" t="s">
        <v>251</v>
      </c>
      <c r="CX71" s="1" t="s">
        <v>709</v>
      </c>
      <c r="CY71" s="1" t="s">
        <v>709</v>
      </c>
      <c r="CZ71" s="1" t="s">
        <v>144</v>
      </c>
      <c r="DA71" s="1" t="s">
        <v>145</v>
      </c>
    </row>
    <row r="72" spans="1:105" s="3" customFormat="1" ht="11.25" customHeight="1" x14ac:dyDescent="0.2">
      <c r="A72" s="1">
        <v>41</v>
      </c>
      <c r="B72" s="1" t="s">
        <v>1215</v>
      </c>
      <c r="C72" s="1" t="s">
        <v>1214</v>
      </c>
      <c r="D72" s="1">
        <v>10627</v>
      </c>
      <c r="E72" s="2" t="s">
        <v>4201</v>
      </c>
      <c r="F72" s="1" t="s">
        <v>113</v>
      </c>
      <c r="G72" s="1" t="s">
        <v>190</v>
      </c>
      <c r="H72" s="1" t="s">
        <v>856</v>
      </c>
      <c r="I72" s="1" t="s">
        <v>229</v>
      </c>
      <c r="J72" s="1" t="s">
        <v>113</v>
      </c>
      <c r="L72" s="1" t="s">
        <v>111</v>
      </c>
      <c r="M72" s="1" t="s">
        <v>111</v>
      </c>
      <c r="N72" s="1" t="s">
        <v>151</v>
      </c>
      <c r="O72" s="1" t="s">
        <v>113</v>
      </c>
      <c r="P72" s="1" t="s">
        <v>113</v>
      </c>
      <c r="Q72" s="1" t="s">
        <v>152</v>
      </c>
      <c r="R72" s="1" t="s">
        <v>114</v>
      </c>
      <c r="S72" s="1" t="s">
        <v>1216</v>
      </c>
      <c r="T72" s="1" t="s">
        <v>106</v>
      </c>
      <c r="U72" s="1" t="s">
        <v>1217</v>
      </c>
      <c r="V72" s="1" t="s">
        <v>1218</v>
      </c>
      <c r="W72" s="1" t="s">
        <v>115</v>
      </c>
      <c r="X72" s="1" t="s">
        <v>113</v>
      </c>
      <c r="Y72" s="1" t="s">
        <v>114</v>
      </c>
      <c r="Z72" s="1">
        <v>100</v>
      </c>
      <c r="AA72" s="1" t="s">
        <v>159</v>
      </c>
      <c r="AB72" s="1" t="s">
        <v>128</v>
      </c>
      <c r="AC72" s="1" t="s">
        <v>118</v>
      </c>
      <c r="AD72" s="1">
        <v>60</v>
      </c>
      <c r="AE72" s="1" t="s">
        <v>159</v>
      </c>
      <c r="AF72" s="1">
        <v>1136</v>
      </c>
      <c r="AG72" s="1" t="s">
        <v>106</v>
      </c>
      <c r="AH72" s="1">
        <v>48</v>
      </c>
      <c r="AI72" s="1">
        <v>37</v>
      </c>
      <c r="AJ72" s="1">
        <v>15</v>
      </c>
      <c r="AK72" s="1" t="s">
        <v>119</v>
      </c>
      <c r="AM72" s="1" t="s">
        <v>1219</v>
      </c>
      <c r="AO72" s="1" t="s">
        <v>113</v>
      </c>
      <c r="AP72" s="1" t="s">
        <v>113</v>
      </c>
      <c r="AQ72" s="1" t="s">
        <v>114</v>
      </c>
      <c r="AR72" s="1" t="s">
        <v>114</v>
      </c>
      <c r="AS72" s="1" t="s">
        <v>114</v>
      </c>
      <c r="AT72" s="1" t="s">
        <v>123</v>
      </c>
      <c r="AU72" s="1" t="s">
        <v>113</v>
      </c>
      <c r="AV72" s="1" t="s">
        <v>113</v>
      </c>
      <c r="AW72" s="1" t="s">
        <v>164</v>
      </c>
      <c r="AX72" s="1" t="s">
        <v>206</v>
      </c>
      <c r="AY72" s="1">
        <v>0</v>
      </c>
      <c r="AZ72" s="1" t="s">
        <v>113</v>
      </c>
      <c r="BA72" s="1" t="s">
        <v>113</v>
      </c>
      <c r="BB72" s="1" t="s">
        <v>125</v>
      </c>
      <c r="BC72" s="1" t="s">
        <v>166</v>
      </c>
      <c r="BD72" s="1">
        <v>0</v>
      </c>
      <c r="BE72" s="1">
        <v>100</v>
      </c>
      <c r="BF72" s="1" t="s">
        <v>167</v>
      </c>
      <c r="BG72" s="1" t="s">
        <v>268</v>
      </c>
      <c r="BH72" s="1" t="s">
        <v>269</v>
      </c>
      <c r="BI72" s="1" t="s">
        <v>269</v>
      </c>
      <c r="BJ72" s="1" t="s">
        <v>208</v>
      </c>
      <c r="BK72" s="1">
        <v>65</v>
      </c>
      <c r="BL72" s="1" t="s">
        <v>270</v>
      </c>
      <c r="BM72" s="1" t="s">
        <v>271</v>
      </c>
      <c r="BN72" s="1">
        <v>3</v>
      </c>
      <c r="BO72" s="1">
        <v>5</v>
      </c>
      <c r="BP72" s="1" t="s">
        <v>115</v>
      </c>
      <c r="BQ72" s="1" t="s">
        <v>388</v>
      </c>
      <c r="BR72" s="1" t="s">
        <v>1220</v>
      </c>
      <c r="BS72" s="1" t="s">
        <v>816</v>
      </c>
      <c r="BT72" s="1" t="s">
        <v>172</v>
      </c>
      <c r="BU72" s="1" t="s">
        <v>132</v>
      </c>
      <c r="BV72" s="1" t="s">
        <v>1221</v>
      </c>
      <c r="BW72" s="1" t="s">
        <v>134</v>
      </c>
      <c r="BX72" s="1" t="s">
        <v>114</v>
      </c>
      <c r="BY72" s="1" t="s">
        <v>135</v>
      </c>
      <c r="BZ72" s="1" t="s">
        <v>1222</v>
      </c>
      <c r="CA72" s="1">
        <v>1136</v>
      </c>
      <c r="CB72" s="1" t="s">
        <v>176</v>
      </c>
      <c r="CC72" s="1" t="s">
        <v>301</v>
      </c>
      <c r="CE72" s="1" t="s">
        <v>179</v>
      </c>
      <c r="CF72" s="1">
        <v>595117.23</v>
      </c>
      <c r="CG72" s="1">
        <v>987556.45</v>
      </c>
      <c r="CH72" s="1">
        <v>385</v>
      </c>
      <c r="CI72" s="1">
        <v>0</v>
      </c>
      <c r="CJ72" s="1">
        <v>240.32</v>
      </c>
      <c r="CK72" s="1">
        <v>287</v>
      </c>
      <c r="CL72" s="1">
        <v>350</v>
      </c>
      <c r="CM72" s="1">
        <v>240</v>
      </c>
      <c r="CN72" s="1">
        <v>157</v>
      </c>
      <c r="CO72" s="1">
        <v>0</v>
      </c>
      <c r="CP72" s="1">
        <v>0</v>
      </c>
      <c r="CQ72" s="1">
        <v>0</v>
      </c>
      <c r="CR72" s="1" t="s">
        <v>139</v>
      </c>
      <c r="CS72" s="1" t="s">
        <v>140</v>
      </c>
      <c r="CT72" s="1" t="s">
        <v>394</v>
      </c>
      <c r="CU72" s="1" t="s">
        <v>617</v>
      </c>
      <c r="CV72" s="1" t="s">
        <v>1223</v>
      </c>
      <c r="CW72" s="1" t="s">
        <v>184</v>
      </c>
      <c r="CX72" s="1" t="s">
        <v>114</v>
      </c>
      <c r="CY72" s="1" t="s">
        <v>143</v>
      </c>
      <c r="CZ72" s="1" t="s">
        <v>144</v>
      </c>
      <c r="DA72" s="1" t="s">
        <v>145</v>
      </c>
    </row>
    <row r="73" spans="1:105" s="3" customFormat="1" ht="11.25" customHeight="1" x14ac:dyDescent="0.2">
      <c r="A73" s="1">
        <v>41</v>
      </c>
      <c r="B73" s="1" t="s">
        <v>1225</v>
      </c>
      <c r="C73" s="1" t="s">
        <v>1224</v>
      </c>
      <c r="D73" s="1">
        <v>10936</v>
      </c>
      <c r="E73" s="2" t="s">
        <v>4201</v>
      </c>
      <c r="F73" s="1" t="s">
        <v>113</v>
      </c>
      <c r="G73" s="1" t="s">
        <v>190</v>
      </c>
      <c r="H73" s="1" t="s">
        <v>143</v>
      </c>
      <c r="I73" s="1" t="s">
        <v>229</v>
      </c>
      <c r="J73" s="1" t="s">
        <v>229</v>
      </c>
      <c r="L73" s="1" t="s">
        <v>111</v>
      </c>
      <c r="M73" s="1" t="s">
        <v>143</v>
      </c>
      <c r="N73" s="1" t="s">
        <v>684</v>
      </c>
      <c r="O73" s="1" t="s">
        <v>106</v>
      </c>
      <c r="P73" s="1" t="s">
        <v>113</v>
      </c>
      <c r="Q73" s="1" t="s">
        <v>195</v>
      </c>
      <c r="R73" s="1" t="s">
        <v>1226</v>
      </c>
      <c r="S73" s="1" t="s">
        <v>157</v>
      </c>
      <c r="T73" s="1" t="s">
        <v>106</v>
      </c>
      <c r="U73" s="1" t="s">
        <v>1226</v>
      </c>
      <c r="V73" s="1" t="s">
        <v>1227</v>
      </c>
      <c r="W73" s="1" t="s">
        <v>115</v>
      </c>
      <c r="X73" s="1" t="s">
        <v>113</v>
      </c>
      <c r="Y73" s="1" t="s">
        <v>276</v>
      </c>
      <c r="Z73" s="1">
        <v>95</v>
      </c>
      <c r="AA73" s="1" t="s">
        <v>116</v>
      </c>
      <c r="AB73" s="1" t="s">
        <v>128</v>
      </c>
      <c r="AC73" s="1" t="s">
        <v>118</v>
      </c>
      <c r="AD73" s="1">
        <v>50</v>
      </c>
      <c r="AE73" s="1" t="s">
        <v>116</v>
      </c>
      <c r="AF73" s="1">
        <v>4949</v>
      </c>
      <c r="AG73" s="1" t="s">
        <v>113</v>
      </c>
      <c r="AH73" s="1">
        <v>0</v>
      </c>
      <c r="AI73" s="1">
        <v>0</v>
      </c>
      <c r="AJ73" s="1">
        <v>0</v>
      </c>
      <c r="AK73" s="1" t="s">
        <v>232</v>
      </c>
      <c r="AM73" s="1" t="s">
        <v>363</v>
      </c>
      <c r="AO73" s="1" t="s">
        <v>113</v>
      </c>
      <c r="AP73" s="1" t="s">
        <v>113</v>
      </c>
      <c r="AQ73" s="1" t="s">
        <v>157</v>
      </c>
      <c r="AR73" s="1" t="s">
        <v>157</v>
      </c>
      <c r="AS73" s="1" t="s">
        <v>157</v>
      </c>
      <c r="AT73" s="1" t="s">
        <v>123</v>
      </c>
      <c r="AU73" s="1" t="s">
        <v>113</v>
      </c>
      <c r="AV73" s="1" t="s">
        <v>113</v>
      </c>
      <c r="AW73" s="1" t="s">
        <v>164</v>
      </c>
      <c r="AX73" s="1" t="s">
        <v>165</v>
      </c>
      <c r="AY73" s="1">
        <v>0</v>
      </c>
      <c r="AZ73" s="1" t="s">
        <v>113</v>
      </c>
      <c r="BA73" s="1" t="s">
        <v>113</v>
      </c>
      <c r="BB73" s="1" t="s">
        <v>125</v>
      </c>
      <c r="BC73" s="1" t="s">
        <v>166</v>
      </c>
      <c r="BD73" s="1">
        <v>0</v>
      </c>
      <c r="BE73" s="1">
        <v>0</v>
      </c>
      <c r="BF73" s="1" t="s">
        <v>127</v>
      </c>
      <c r="BG73" s="1" t="s">
        <v>127</v>
      </c>
      <c r="BJ73" s="1" t="s">
        <v>128</v>
      </c>
      <c r="BK73" s="1">
        <v>0</v>
      </c>
      <c r="BL73" s="1" t="s">
        <v>127</v>
      </c>
      <c r="BM73" s="1" t="s">
        <v>114</v>
      </c>
      <c r="BN73" s="1" t="s">
        <v>276</v>
      </c>
      <c r="BO73" s="1" t="s">
        <v>276</v>
      </c>
      <c r="BP73" s="1" t="s">
        <v>363</v>
      </c>
      <c r="BQ73" s="1" t="s">
        <v>276</v>
      </c>
      <c r="BR73" s="1" t="s">
        <v>1228</v>
      </c>
      <c r="BS73" s="1" t="s">
        <v>1229</v>
      </c>
      <c r="BT73" s="1" t="s">
        <v>363</v>
      </c>
      <c r="BU73" s="1" t="s">
        <v>239</v>
      </c>
      <c r="BV73" s="1" t="s">
        <v>713</v>
      </c>
      <c r="BW73" s="1" t="s">
        <v>134</v>
      </c>
      <c r="BX73" s="1" t="s">
        <v>276</v>
      </c>
      <c r="BY73" s="1" t="s">
        <v>135</v>
      </c>
      <c r="BZ73" s="1" t="s">
        <v>157</v>
      </c>
      <c r="CA73" s="1">
        <v>0</v>
      </c>
      <c r="CB73" s="1" t="s">
        <v>216</v>
      </c>
      <c r="CC73" s="1" t="s">
        <v>138</v>
      </c>
      <c r="CE73" s="1" t="s">
        <v>478</v>
      </c>
      <c r="CF73" s="6">
        <v>448940.14</v>
      </c>
      <c r="CG73" s="6">
        <v>410244.34</v>
      </c>
      <c r="CH73" s="6">
        <v>37628</v>
      </c>
      <c r="CI73" s="6">
        <v>410244.34</v>
      </c>
      <c r="CJ73" s="6">
        <v>37628</v>
      </c>
      <c r="CK73" s="1">
        <v>0</v>
      </c>
      <c r="CL73" s="1">
        <v>0</v>
      </c>
      <c r="CM73" s="1">
        <v>0</v>
      </c>
      <c r="CN73" s="1">
        <v>0</v>
      </c>
      <c r="CO73" s="1">
        <v>0</v>
      </c>
      <c r="CP73" s="1">
        <v>0</v>
      </c>
      <c r="CQ73" s="1">
        <v>0</v>
      </c>
      <c r="CR73" s="1" t="s">
        <v>139</v>
      </c>
      <c r="CS73" s="1" t="s">
        <v>140</v>
      </c>
      <c r="CT73" s="1" t="s">
        <v>223</v>
      </c>
      <c r="CW73" s="1" t="s">
        <v>251</v>
      </c>
      <c r="CX73" s="1" t="s">
        <v>127</v>
      </c>
      <c r="CY73" s="1" t="s">
        <v>143</v>
      </c>
    </row>
    <row r="74" spans="1:105" s="3" customFormat="1" ht="11.25" customHeight="1" x14ac:dyDescent="0.2">
      <c r="A74" s="1">
        <v>41</v>
      </c>
      <c r="B74" s="1" t="s">
        <v>1231</v>
      </c>
      <c r="C74" s="1" t="s">
        <v>1230</v>
      </c>
      <c r="D74" s="1">
        <v>16240</v>
      </c>
      <c r="E74" s="2" t="s">
        <v>4201</v>
      </c>
      <c r="F74" s="1" t="s">
        <v>106</v>
      </c>
      <c r="G74" s="1" t="s">
        <v>107</v>
      </c>
      <c r="H74" s="1" t="s">
        <v>1232</v>
      </c>
      <c r="I74" s="1" t="s">
        <v>109</v>
      </c>
      <c r="J74" s="1" t="s">
        <v>106</v>
      </c>
      <c r="K74" s="1" t="s">
        <v>1233</v>
      </c>
      <c r="L74" s="1" t="s">
        <v>111</v>
      </c>
      <c r="M74" s="1" t="s">
        <v>230</v>
      </c>
      <c r="N74" s="1" t="s">
        <v>112</v>
      </c>
      <c r="O74" s="1" t="s">
        <v>113</v>
      </c>
      <c r="P74" s="1" t="s">
        <v>113</v>
      </c>
      <c r="Q74" s="1" t="s">
        <v>111</v>
      </c>
      <c r="R74" s="1" t="s">
        <v>127</v>
      </c>
      <c r="S74" s="1" t="s">
        <v>127</v>
      </c>
      <c r="T74" s="1" t="s">
        <v>113</v>
      </c>
      <c r="U74" s="1" t="s">
        <v>127</v>
      </c>
      <c r="V74" s="1" t="s">
        <v>1234</v>
      </c>
      <c r="W74" s="1" t="s">
        <v>115</v>
      </c>
      <c r="X74" s="1" t="s">
        <v>113</v>
      </c>
      <c r="Y74" s="1" t="s">
        <v>127</v>
      </c>
      <c r="Z74" s="1">
        <v>100</v>
      </c>
      <c r="AA74" s="1" t="s">
        <v>116</v>
      </c>
      <c r="AB74" s="1" t="s">
        <v>128</v>
      </c>
      <c r="AC74" s="1" t="s">
        <v>118</v>
      </c>
      <c r="AD74" s="1">
        <v>30</v>
      </c>
      <c r="AE74" s="1" t="s">
        <v>116</v>
      </c>
      <c r="AF74" s="1">
        <v>1680</v>
      </c>
      <c r="AG74" s="1" t="s">
        <v>113</v>
      </c>
      <c r="AH74" s="1">
        <v>30</v>
      </c>
      <c r="AI74" s="1">
        <v>40</v>
      </c>
      <c r="AJ74" s="1">
        <v>30</v>
      </c>
      <c r="AK74" s="1" t="s">
        <v>1235</v>
      </c>
      <c r="AL74" s="1">
        <v>5</v>
      </c>
      <c r="AM74" s="1" t="s">
        <v>172</v>
      </c>
      <c r="AN74" s="1">
        <v>5</v>
      </c>
      <c r="AO74" s="1" t="s">
        <v>113</v>
      </c>
      <c r="AP74" s="1" t="s">
        <v>106</v>
      </c>
      <c r="AQ74" s="1" t="s">
        <v>127</v>
      </c>
      <c r="AR74" s="1" t="s">
        <v>1236</v>
      </c>
      <c r="AS74" s="1" t="s">
        <v>1237</v>
      </c>
      <c r="AT74" s="1" t="s">
        <v>123</v>
      </c>
      <c r="AU74" s="1" t="s">
        <v>113</v>
      </c>
      <c r="AV74" s="1" t="s">
        <v>113</v>
      </c>
      <c r="AW74" s="1" t="s">
        <v>124</v>
      </c>
      <c r="AX74" s="1" t="s">
        <v>165</v>
      </c>
      <c r="AY74" s="1">
        <v>0</v>
      </c>
      <c r="AZ74" s="1" t="s">
        <v>113</v>
      </c>
      <c r="BA74" s="1" t="s">
        <v>113</v>
      </c>
      <c r="BB74" s="1" t="s">
        <v>125</v>
      </c>
      <c r="BC74" s="1" t="s">
        <v>166</v>
      </c>
      <c r="BD74" s="1">
        <v>0</v>
      </c>
      <c r="BE74" s="1">
        <v>100</v>
      </c>
      <c r="BF74" s="1" t="s">
        <v>630</v>
      </c>
      <c r="BG74" s="1" t="s">
        <v>116</v>
      </c>
      <c r="BH74" s="1" t="s">
        <v>269</v>
      </c>
      <c r="BI74" s="1" t="s">
        <v>269</v>
      </c>
      <c r="BJ74" s="1" t="s">
        <v>208</v>
      </c>
      <c r="BK74" s="1">
        <v>30</v>
      </c>
      <c r="BL74" s="1" t="s">
        <v>294</v>
      </c>
      <c r="BM74" s="1" t="s">
        <v>210</v>
      </c>
      <c r="BN74" s="1" t="s">
        <v>143</v>
      </c>
      <c r="BO74" s="1">
        <v>2</v>
      </c>
      <c r="BP74" s="1" t="s">
        <v>115</v>
      </c>
      <c r="BQ74" s="1" t="s">
        <v>1233</v>
      </c>
      <c r="BR74" s="1" t="s">
        <v>127</v>
      </c>
      <c r="BS74" s="1" t="s">
        <v>1238</v>
      </c>
      <c r="BT74" s="1" t="s">
        <v>172</v>
      </c>
      <c r="BU74" s="1" t="s">
        <v>1239</v>
      </c>
      <c r="BV74" s="1" t="s">
        <v>275</v>
      </c>
      <c r="BW74" s="1" t="s">
        <v>134</v>
      </c>
      <c r="BX74" s="1" t="s">
        <v>137</v>
      </c>
      <c r="BY74" s="1" t="s">
        <v>135</v>
      </c>
      <c r="BZ74" s="1" t="s">
        <v>127</v>
      </c>
      <c r="CA74" s="1">
        <v>1680</v>
      </c>
      <c r="CB74" s="1" t="s">
        <v>244</v>
      </c>
      <c r="CC74" s="1" t="s">
        <v>177</v>
      </c>
      <c r="CD74" s="1" t="s">
        <v>1240</v>
      </c>
      <c r="CE74" s="1" t="s">
        <v>179</v>
      </c>
      <c r="CF74" s="6">
        <v>142175.66</v>
      </c>
      <c r="CG74" s="1">
        <v>321</v>
      </c>
      <c r="CH74" s="1">
        <v>285</v>
      </c>
      <c r="CI74" s="1">
        <v>202</v>
      </c>
      <c r="CJ74" s="1">
        <v>98</v>
      </c>
      <c r="CK74" s="1">
        <v>660</v>
      </c>
      <c r="CL74" s="1">
        <v>0</v>
      </c>
      <c r="CM74" s="1">
        <v>0</v>
      </c>
      <c r="CN74" s="1">
        <v>0</v>
      </c>
      <c r="CO74" s="1">
        <v>0</v>
      </c>
      <c r="CP74" s="1">
        <v>0</v>
      </c>
      <c r="CQ74" s="1">
        <v>0</v>
      </c>
      <c r="CR74" s="1" t="s">
        <v>139</v>
      </c>
      <c r="CS74" s="1" t="s">
        <v>140</v>
      </c>
      <c r="CT74" s="1" t="s">
        <v>223</v>
      </c>
      <c r="CV74" s="1" t="s">
        <v>1241</v>
      </c>
      <c r="CW74" s="1" t="s">
        <v>420</v>
      </c>
      <c r="CX74" s="1" t="s">
        <v>127</v>
      </c>
      <c r="CY74" s="1" t="s">
        <v>143</v>
      </c>
      <c r="CZ74" s="1" t="s">
        <v>144</v>
      </c>
      <c r="DA74" s="1" t="s">
        <v>145</v>
      </c>
    </row>
    <row r="75" spans="1:105" s="3" customFormat="1" ht="11.25" customHeight="1" x14ac:dyDescent="0.2">
      <c r="A75" s="1">
        <v>41</v>
      </c>
      <c r="B75" s="1" t="s">
        <v>1243</v>
      </c>
      <c r="C75" s="1" t="s">
        <v>1242</v>
      </c>
      <c r="D75" s="1">
        <v>11251</v>
      </c>
      <c r="E75" s="2" t="s">
        <v>4201</v>
      </c>
      <c r="F75" s="1" t="s">
        <v>113</v>
      </c>
      <c r="G75" s="1" t="s">
        <v>190</v>
      </c>
      <c r="H75" s="1" t="s">
        <v>1244</v>
      </c>
      <c r="I75" s="1" t="s">
        <v>229</v>
      </c>
      <c r="J75" s="1" t="s">
        <v>113</v>
      </c>
      <c r="K75" s="1" t="s">
        <v>1245</v>
      </c>
      <c r="L75" s="1" t="s">
        <v>111</v>
      </c>
      <c r="M75" s="1" t="s">
        <v>191</v>
      </c>
      <c r="N75" s="1" t="s">
        <v>112</v>
      </c>
      <c r="O75" s="1" t="s">
        <v>113</v>
      </c>
      <c r="P75" s="1" t="s">
        <v>113</v>
      </c>
      <c r="Q75" s="1" t="s">
        <v>111</v>
      </c>
      <c r="R75" s="1" t="s">
        <v>373</v>
      </c>
      <c r="S75" s="1" t="s">
        <v>114</v>
      </c>
      <c r="T75" s="1" t="s">
        <v>106</v>
      </c>
      <c r="U75" s="1" t="s">
        <v>114</v>
      </c>
      <c r="V75" s="1" t="s">
        <v>1246</v>
      </c>
      <c r="W75" s="1" t="s">
        <v>115</v>
      </c>
      <c r="X75" s="1" t="s">
        <v>113</v>
      </c>
      <c r="Y75" s="1" t="s">
        <v>154</v>
      </c>
      <c r="Z75" s="1">
        <v>100</v>
      </c>
      <c r="AA75" s="1" t="s">
        <v>132</v>
      </c>
      <c r="AB75" s="1" t="s">
        <v>128</v>
      </c>
      <c r="AC75" s="1" t="s">
        <v>118</v>
      </c>
      <c r="AD75" s="1">
        <v>20</v>
      </c>
      <c r="AE75" s="1" t="s">
        <v>132</v>
      </c>
      <c r="AF75" s="1">
        <v>2055</v>
      </c>
      <c r="AG75" s="1" t="s">
        <v>113</v>
      </c>
      <c r="AH75" s="1">
        <v>0</v>
      </c>
      <c r="AI75" s="1">
        <v>0</v>
      </c>
      <c r="AJ75" s="1">
        <v>0</v>
      </c>
      <c r="AK75" s="1" t="s">
        <v>1247</v>
      </c>
      <c r="AL75" s="1">
        <v>6770</v>
      </c>
      <c r="AM75" s="1" t="s">
        <v>172</v>
      </c>
      <c r="AN75" s="1">
        <v>6770</v>
      </c>
      <c r="AO75" s="1" t="s">
        <v>113</v>
      </c>
      <c r="AP75" s="1" t="s">
        <v>106</v>
      </c>
      <c r="AQ75" s="1">
        <v>241534</v>
      </c>
      <c r="AR75" s="1" t="s">
        <v>1248</v>
      </c>
      <c r="AS75" s="1" t="s">
        <v>1249</v>
      </c>
      <c r="AT75" s="1" t="s">
        <v>123</v>
      </c>
      <c r="AU75" s="1" t="s">
        <v>113</v>
      </c>
      <c r="AV75" s="1" t="s">
        <v>113</v>
      </c>
      <c r="AW75" s="1" t="s">
        <v>124</v>
      </c>
      <c r="AX75" s="1" t="s">
        <v>165</v>
      </c>
      <c r="AY75" s="1">
        <v>0</v>
      </c>
      <c r="AZ75" s="1" t="s">
        <v>113</v>
      </c>
      <c r="BA75" s="1" t="s">
        <v>113</v>
      </c>
      <c r="BB75" s="1" t="s">
        <v>125</v>
      </c>
      <c r="BC75" s="1" t="s">
        <v>166</v>
      </c>
      <c r="BD75" s="1">
        <v>0</v>
      </c>
      <c r="BE75" s="1">
        <v>100</v>
      </c>
      <c r="BF75" s="1" t="s">
        <v>167</v>
      </c>
      <c r="BG75" s="1" t="s">
        <v>268</v>
      </c>
      <c r="BH75" s="1" t="s">
        <v>269</v>
      </c>
      <c r="BI75" s="1" t="s">
        <v>269</v>
      </c>
      <c r="BJ75" s="1" t="s">
        <v>208</v>
      </c>
      <c r="BK75" s="1">
        <v>20</v>
      </c>
      <c r="BL75" s="1" t="s">
        <v>270</v>
      </c>
      <c r="BM75" s="1" t="s">
        <v>271</v>
      </c>
      <c r="BN75" s="1">
        <v>17</v>
      </c>
      <c r="BO75" s="1">
        <v>0</v>
      </c>
      <c r="BP75" s="1" t="s">
        <v>115</v>
      </c>
      <c r="BQ75" s="1" t="s">
        <v>1250</v>
      </c>
      <c r="BR75" s="1" t="s">
        <v>1251</v>
      </c>
      <c r="BS75" s="1" t="s">
        <v>1252</v>
      </c>
      <c r="BT75" s="1" t="s">
        <v>172</v>
      </c>
      <c r="BU75" s="1" t="s">
        <v>132</v>
      </c>
      <c r="BV75" s="1" t="s">
        <v>1253</v>
      </c>
      <c r="BW75" s="1" t="s">
        <v>134</v>
      </c>
      <c r="BX75" s="1" t="s">
        <v>1254</v>
      </c>
      <c r="BY75" s="1" t="s">
        <v>299</v>
      </c>
      <c r="BZ75" s="1" t="s">
        <v>1255</v>
      </c>
      <c r="CA75" s="4">
        <v>6770</v>
      </c>
      <c r="CB75" s="1" t="s">
        <v>244</v>
      </c>
      <c r="CC75" s="1" t="s">
        <v>177</v>
      </c>
      <c r="CE75" s="1" t="s">
        <v>219</v>
      </c>
      <c r="CF75" s="6">
        <v>571153.76</v>
      </c>
      <c r="CG75" s="6">
        <v>707950.43</v>
      </c>
      <c r="CH75" s="1">
        <v>290.92</v>
      </c>
      <c r="CI75" s="1">
        <v>316.91000000000003</v>
      </c>
      <c r="CJ75" s="1">
        <v>0</v>
      </c>
      <c r="CK75" s="6">
        <v>7290</v>
      </c>
      <c r="CL75" s="1">
        <v>145</v>
      </c>
      <c r="CM75" s="1">
        <v>0</v>
      </c>
      <c r="CN75" s="1">
        <v>0</v>
      </c>
      <c r="CO75" s="1">
        <v>0</v>
      </c>
      <c r="CP75" s="1">
        <v>0</v>
      </c>
      <c r="CQ75" s="1">
        <v>0</v>
      </c>
      <c r="CR75" s="1" t="s">
        <v>180</v>
      </c>
      <c r="CS75" s="1" t="s">
        <v>140</v>
      </c>
      <c r="CT75" s="1" t="s">
        <v>282</v>
      </c>
      <c r="CU75" s="1" t="s">
        <v>182</v>
      </c>
      <c r="CV75" s="1" t="s">
        <v>1033</v>
      </c>
      <c r="CW75" s="1" t="s">
        <v>284</v>
      </c>
      <c r="CX75" s="1" t="s">
        <v>1256</v>
      </c>
      <c r="CY75" s="1" t="s">
        <v>143</v>
      </c>
      <c r="CZ75" s="1" t="s">
        <v>144</v>
      </c>
      <c r="DA75" s="1" t="s">
        <v>145</v>
      </c>
    </row>
    <row r="76" spans="1:105" s="3" customFormat="1" ht="11.25" customHeight="1" x14ac:dyDescent="0.2">
      <c r="A76" s="1">
        <v>41</v>
      </c>
      <c r="B76" s="1" t="s">
        <v>1258</v>
      </c>
      <c r="C76" s="1" t="s">
        <v>1257</v>
      </c>
      <c r="D76" s="1">
        <v>21559</v>
      </c>
      <c r="E76" s="2" t="s">
        <v>4201</v>
      </c>
      <c r="F76" s="1" t="s">
        <v>113</v>
      </c>
      <c r="G76" s="1" t="s">
        <v>190</v>
      </c>
      <c r="H76" s="1" t="s">
        <v>1259</v>
      </c>
      <c r="I76" s="1" t="s">
        <v>193</v>
      </c>
      <c r="J76" s="1" t="s">
        <v>229</v>
      </c>
      <c r="L76" s="1" t="s">
        <v>149</v>
      </c>
      <c r="M76" s="1" t="s">
        <v>1260</v>
      </c>
      <c r="N76" s="1" t="s">
        <v>112</v>
      </c>
      <c r="O76" s="1" t="s">
        <v>113</v>
      </c>
      <c r="P76" s="1" t="s">
        <v>113</v>
      </c>
      <c r="Q76" s="1" t="s">
        <v>195</v>
      </c>
      <c r="R76" s="1" t="s">
        <v>1261</v>
      </c>
      <c r="S76" s="1" t="s">
        <v>114</v>
      </c>
      <c r="T76" s="1" t="s">
        <v>113</v>
      </c>
      <c r="U76" s="1" t="s">
        <v>157</v>
      </c>
      <c r="W76" s="1" t="s">
        <v>115</v>
      </c>
      <c r="X76" s="1" t="s">
        <v>113</v>
      </c>
      <c r="Y76" s="1" t="s">
        <v>114</v>
      </c>
      <c r="Z76" s="1">
        <v>100</v>
      </c>
      <c r="AA76" s="1" t="s">
        <v>132</v>
      </c>
      <c r="AB76" s="1" t="s">
        <v>117</v>
      </c>
      <c r="AC76" s="1" t="s">
        <v>118</v>
      </c>
      <c r="AD76" s="1">
        <v>50</v>
      </c>
      <c r="AE76" s="1" t="s">
        <v>132</v>
      </c>
      <c r="AF76" s="1">
        <v>2717</v>
      </c>
      <c r="AG76" s="1" t="s">
        <v>113</v>
      </c>
      <c r="AH76" s="1">
        <v>0</v>
      </c>
      <c r="AI76" s="1">
        <v>0</v>
      </c>
      <c r="AJ76" s="1">
        <v>0</v>
      </c>
      <c r="AK76" s="1" t="s">
        <v>119</v>
      </c>
      <c r="AM76" s="1" t="s">
        <v>1262</v>
      </c>
      <c r="AO76" s="1" t="s">
        <v>113</v>
      </c>
      <c r="AP76" s="1" t="s">
        <v>113</v>
      </c>
      <c r="AQ76" s="1" t="s">
        <v>157</v>
      </c>
      <c r="AR76" s="1" t="s">
        <v>157</v>
      </c>
      <c r="AS76" s="1" t="s">
        <v>1263</v>
      </c>
      <c r="AT76" s="1" t="s">
        <v>123</v>
      </c>
      <c r="AU76" s="1" t="s">
        <v>106</v>
      </c>
      <c r="AV76" s="1" t="s">
        <v>113</v>
      </c>
      <c r="AW76" s="1" t="s">
        <v>234</v>
      </c>
      <c r="AX76" s="1" t="s">
        <v>760</v>
      </c>
      <c r="AY76" s="1">
        <v>0</v>
      </c>
      <c r="AZ76" s="1" t="s">
        <v>113</v>
      </c>
      <c r="BA76" s="1" t="s">
        <v>113</v>
      </c>
      <c r="BB76" s="1" t="s">
        <v>125</v>
      </c>
      <c r="BC76" s="1" t="s">
        <v>166</v>
      </c>
      <c r="BD76" s="1">
        <v>0</v>
      </c>
      <c r="BE76" s="1">
        <v>100</v>
      </c>
      <c r="BF76" s="1" t="s">
        <v>1165</v>
      </c>
      <c r="BG76" s="1" t="s">
        <v>268</v>
      </c>
      <c r="BH76" s="1" t="s">
        <v>269</v>
      </c>
      <c r="BI76" s="1" t="s">
        <v>269</v>
      </c>
      <c r="BJ76" s="1" t="s">
        <v>208</v>
      </c>
      <c r="BK76" s="1">
        <v>50</v>
      </c>
      <c r="BL76" s="1" t="s">
        <v>533</v>
      </c>
      <c r="BM76" s="1" t="s">
        <v>271</v>
      </c>
      <c r="BN76" s="1" t="s">
        <v>143</v>
      </c>
      <c r="BP76" s="1" t="s">
        <v>115</v>
      </c>
      <c r="BQ76" s="1" t="s">
        <v>1264</v>
      </c>
      <c r="BR76" s="1" t="s">
        <v>1265</v>
      </c>
      <c r="BS76" s="1" t="s">
        <v>1266</v>
      </c>
      <c r="BT76" s="1" t="s">
        <v>172</v>
      </c>
      <c r="BU76" s="1" t="s">
        <v>132</v>
      </c>
      <c r="BV76" s="1" t="s">
        <v>1267</v>
      </c>
      <c r="BW76" s="1" t="s">
        <v>298</v>
      </c>
      <c r="BX76" s="1" t="s">
        <v>325</v>
      </c>
      <c r="BY76" s="1" t="s">
        <v>299</v>
      </c>
      <c r="BZ76" s="1" t="s">
        <v>290</v>
      </c>
      <c r="CA76" s="1">
        <v>3283</v>
      </c>
      <c r="CB76" s="1" t="s">
        <v>176</v>
      </c>
      <c r="CC76" s="1" t="s">
        <v>1268</v>
      </c>
      <c r="CD76" s="1" t="s">
        <v>1269</v>
      </c>
      <c r="CE76" s="1" t="s">
        <v>219</v>
      </c>
      <c r="CF76" s="1">
        <v>1419808.54</v>
      </c>
      <c r="CG76" s="1">
        <v>2674818.6</v>
      </c>
      <c r="CH76" s="1">
        <v>362.16</v>
      </c>
      <c r="CI76" s="1">
        <v>0</v>
      </c>
      <c r="CJ76" s="1">
        <v>251.75</v>
      </c>
      <c r="CK76" s="1">
        <v>409.75</v>
      </c>
      <c r="CL76" s="1" t="s">
        <v>1270</v>
      </c>
      <c r="CM76" s="1" t="s">
        <v>1271</v>
      </c>
      <c r="CN76" s="1">
        <v>0</v>
      </c>
      <c r="CO76" s="1">
        <v>0</v>
      </c>
      <c r="CP76" s="1">
        <v>0</v>
      </c>
      <c r="CQ76" s="1">
        <v>0</v>
      </c>
      <c r="CR76" s="1" t="s">
        <v>139</v>
      </c>
      <c r="CS76" s="1" t="s">
        <v>140</v>
      </c>
      <c r="CT76" s="1" t="s">
        <v>282</v>
      </c>
      <c r="CV76" s="1" t="s">
        <v>1272</v>
      </c>
      <c r="CW76" s="1" t="s">
        <v>284</v>
      </c>
      <c r="CX76" s="1" t="s">
        <v>1273</v>
      </c>
      <c r="CY76" s="1" t="s">
        <v>157</v>
      </c>
      <c r="CZ76" s="1" t="s">
        <v>144</v>
      </c>
      <c r="DA76" s="1" t="s">
        <v>145</v>
      </c>
    </row>
    <row r="77" spans="1:105" s="3" customFormat="1" ht="11.25" customHeight="1" x14ac:dyDescent="0.2">
      <c r="A77" s="1">
        <v>41</v>
      </c>
      <c r="B77" s="1" t="s">
        <v>1275</v>
      </c>
      <c r="C77" s="1" t="s">
        <v>1274</v>
      </c>
      <c r="D77" s="1">
        <v>82359</v>
      </c>
      <c r="E77" s="2" t="s">
        <v>4201</v>
      </c>
      <c r="F77" s="1" t="s">
        <v>113</v>
      </c>
      <c r="G77" s="1" t="s">
        <v>190</v>
      </c>
      <c r="H77" s="1" t="s">
        <v>114</v>
      </c>
      <c r="I77" s="1" t="s">
        <v>229</v>
      </c>
      <c r="J77" s="1" t="s">
        <v>229</v>
      </c>
      <c r="K77" s="1" t="s">
        <v>114</v>
      </c>
      <c r="L77" s="1" t="s">
        <v>111</v>
      </c>
      <c r="M77" s="1" t="s">
        <v>111</v>
      </c>
      <c r="N77" s="1" t="s">
        <v>112</v>
      </c>
      <c r="O77" s="1" t="s">
        <v>113</v>
      </c>
      <c r="P77" s="1" t="s">
        <v>113</v>
      </c>
      <c r="Q77" s="1" t="s">
        <v>258</v>
      </c>
      <c r="R77" s="1" t="s">
        <v>1276</v>
      </c>
      <c r="S77" s="1" t="s">
        <v>114</v>
      </c>
      <c r="T77" s="1" t="s">
        <v>106</v>
      </c>
      <c r="U77" s="1" t="s">
        <v>1277</v>
      </c>
      <c r="V77" s="1" t="s">
        <v>566</v>
      </c>
      <c r="W77" s="1" t="s">
        <v>199</v>
      </c>
      <c r="X77" s="1" t="s">
        <v>113</v>
      </c>
      <c r="Y77" s="1" t="s">
        <v>114</v>
      </c>
      <c r="Z77" s="1">
        <v>100</v>
      </c>
      <c r="AA77" s="1" t="s">
        <v>132</v>
      </c>
      <c r="AB77" s="1" t="s">
        <v>128</v>
      </c>
      <c r="AC77" s="1" t="s">
        <v>118</v>
      </c>
      <c r="AD77" s="1">
        <v>60</v>
      </c>
      <c r="AE77" s="1" t="s">
        <v>116</v>
      </c>
      <c r="AF77" s="1">
        <v>19542</v>
      </c>
      <c r="AG77" s="1" t="s">
        <v>113</v>
      </c>
      <c r="AH77" s="1">
        <v>0</v>
      </c>
      <c r="AI77" s="1">
        <v>0</v>
      </c>
      <c r="AJ77" s="1">
        <v>0</v>
      </c>
      <c r="AK77" s="1" t="s">
        <v>263</v>
      </c>
      <c r="AM77" s="1" t="s">
        <v>120</v>
      </c>
      <c r="AN77" s="1">
        <v>1000</v>
      </c>
      <c r="AO77" s="1" t="s">
        <v>113</v>
      </c>
      <c r="AP77" s="1" t="s">
        <v>113</v>
      </c>
      <c r="AQ77" s="1" t="s">
        <v>114</v>
      </c>
      <c r="AR77" s="1" t="s">
        <v>114</v>
      </c>
      <c r="AS77" s="1" t="s">
        <v>114</v>
      </c>
      <c r="AT77" s="1" t="s">
        <v>628</v>
      </c>
      <c r="AU77" s="1" t="s">
        <v>113</v>
      </c>
      <c r="AV77" s="1" t="s">
        <v>113</v>
      </c>
      <c r="AW77" s="1" t="s">
        <v>234</v>
      </c>
      <c r="AX77" s="1" t="s">
        <v>490</v>
      </c>
      <c r="AY77" s="1">
        <v>600</v>
      </c>
      <c r="AZ77" s="1" t="s">
        <v>113</v>
      </c>
      <c r="BA77" s="1" t="s">
        <v>113</v>
      </c>
      <c r="BB77" s="1" t="s">
        <v>125</v>
      </c>
      <c r="BC77" s="1" t="s">
        <v>166</v>
      </c>
      <c r="BD77" s="1">
        <v>0</v>
      </c>
      <c r="BE77" s="1">
        <v>100</v>
      </c>
      <c r="BF77" s="1" t="s">
        <v>167</v>
      </c>
      <c r="BG77" s="1" t="s">
        <v>1278</v>
      </c>
      <c r="BH77" s="1" t="s">
        <v>168</v>
      </c>
      <c r="BI77" s="1" t="s">
        <v>569</v>
      </c>
      <c r="BJ77" s="1" t="s">
        <v>128</v>
      </c>
      <c r="BK77" s="1">
        <v>0</v>
      </c>
      <c r="BL77" s="1" t="s">
        <v>127</v>
      </c>
      <c r="BM77" s="1" t="s">
        <v>114</v>
      </c>
      <c r="BN77" s="1" t="s">
        <v>143</v>
      </c>
      <c r="BO77" s="1" t="s">
        <v>143</v>
      </c>
      <c r="BP77" s="1" t="s">
        <v>124</v>
      </c>
      <c r="BQ77" s="1" t="s">
        <v>1279</v>
      </c>
      <c r="BR77" s="1" t="s">
        <v>1280</v>
      </c>
      <c r="BS77" s="1" t="s">
        <v>1281</v>
      </c>
      <c r="BT77" s="1" t="s">
        <v>172</v>
      </c>
      <c r="BU77" s="1" t="s">
        <v>1282</v>
      </c>
      <c r="BV77" s="1" t="s">
        <v>1283</v>
      </c>
      <c r="BW77" s="1" t="s">
        <v>298</v>
      </c>
      <c r="BX77" s="1" t="s">
        <v>325</v>
      </c>
      <c r="BY77" s="1" t="s">
        <v>299</v>
      </c>
      <c r="BZ77" s="1" t="s">
        <v>1284</v>
      </c>
      <c r="CA77" s="1">
        <v>17590</v>
      </c>
      <c r="CB77" s="1" t="s">
        <v>176</v>
      </c>
      <c r="CC77" s="1" t="s">
        <v>177</v>
      </c>
      <c r="CD77" s="1" t="s">
        <v>1285</v>
      </c>
      <c r="CE77" s="1" t="s">
        <v>179</v>
      </c>
      <c r="CF77" s="1">
        <v>0</v>
      </c>
      <c r="CG77" s="1">
        <v>0</v>
      </c>
      <c r="CH77" s="1">
        <v>0</v>
      </c>
      <c r="CI77" s="1">
        <v>0</v>
      </c>
      <c r="CJ77" s="1">
        <v>0</v>
      </c>
      <c r="CK77" s="1">
        <v>0</v>
      </c>
      <c r="CL77" s="1">
        <v>0</v>
      </c>
      <c r="CM77" s="1">
        <v>0</v>
      </c>
      <c r="CN77" s="1">
        <v>0</v>
      </c>
      <c r="CO77" s="1">
        <v>0</v>
      </c>
      <c r="CP77" s="1">
        <v>0</v>
      </c>
      <c r="CQ77" s="1">
        <v>0</v>
      </c>
      <c r="CR77" s="1" t="s">
        <v>180</v>
      </c>
      <c r="CS77" s="1" t="s">
        <v>140</v>
      </c>
      <c r="CT77" s="1" t="s">
        <v>1286</v>
      </c>
      <c r="CU77" s="1" t="s">
        <v>249</v>
      </c>
      <c r="CV77" s="1" t="s">
        <v>1287</v>
      </c>
      <c r="CW77" s="1" t="s">
        <v>184</v>
      </c>
      <c r="CX77" s="1" t="s">
        <v>1288</v>
      </c>
      <c r="CY77" s="1" t="s">
        <v>143</v>
      </c>
      <c r="CZ77" s="1" t="s">
        <v>144</v>
      </c>
      <c r="DA77" s="1" t="s">
        <v>145</v>
      </c>
    </row>
    <row r="78" spans="1:105" s="3" customFormat="1" ht="11.25" customHeight="1" x14ac:dyDescent="0.2">
      <c r="A78" s="1">
        <v>41</v>
      </c>
      <c r="B78" s="1" t="s">
        <v>1290</v>
      </c>
      <c r="C78" s="1" t="s">
        <v>1289</v>
      </c>
      <c r="D78" s="1">
        <v>11684</v>
      </c>
      <c r="E78" s="2" t="s">
        <v>4201</v>
      </c>
      <c r="F78" s="1" t="s">
        <v>113</v>
      </c>
      <c r="G78" s="1" t="s">
        <v>190</v>
      </c>
      <c r="H78" s="1" t="s">
        <v>114</v>
      </c>
      <c r="I78" s="1" t="s">
        <v>229</v>
      </c>
      <c r="J78" s="1" t="s">
        <v>229</v>
      </c>
      <c r="K78" s="1" t="s">
        <v>114</v>
      </c>
      <c r="L78" s="1" t="s">
        <v>111</v>
      </c>
      <c r="M78" s="1" t="s">
        <v>111</v>
      </c>
      <c r="N78" s="1" t="s">
        <v>112</v>
      </c>
      <c r="O78" s="1" t="s">
        <v>113</v>
      </c>
      <c r="P78" s="1" t="s">
        <v>113</v>
      </c>
      <c r="Q78" s="1" t="s">
        <v>195</v>
      </c>
      <c r="R78" s="1" t="s">
        <v>114</v>
      </c>
      <c r="S78" s="1" t="s">
        <v>114</v>
      </c>
      <c r="T78" s="1" t="s">
        <v>106</v>
      </c>
      <c r="U78" s="1" t="s">
        <v>114</v>
      </c>
      <c r="V78" s="1" t="s">
        <v>1291</v>
      </c>
      <c r="W78" s="1" t="s">
        <v>115</v>
      </c>
      <c r="X78" s="1" t="s">
        <v>113</v>
      </c>
      <c r="Y78" s="1" t="s">
        <v>114</v>
      </c>
      <c r="Z78" s="1">
        <v>100</v>
      </c>
      <c r="AA78" s="1" t="s">
        <v>116</v>
      </c>
      <c r="AB78" s="1" t="s">
        <v>128</v>
      </c>
      <c r="AC78" s="1" t="s">
        <v>128</v>
      </c>
      <c r="AD78" s="1">
        <v>0</v>
      </c>
      <c r="AE78" s="1" t="s">
        <v>114</v>
      </c>
      <c r="AF78" s="1">
        <v>2240</v>
      </c>
      <c r="AG78" s="1" t="s">
        <v>106</v>
      </c>
      <c r="AH78" s="1">
        <v>50</v>
      </c>
      <c r="AI78" s="1">
        <v>30</v>
      </c>
      <c r="AJ78" s="1">
        <v>20</v>
      </c>
      <c r="AK78" s="1" t="s">
        <v>626</v>
      </c>
      <c r="AL78" s="1">
        <v>1500</v>
      </c>
      <c r="AM78" s="1" t="s">
        <v>293</v>
      </c>
      <c r="AN78" s="1">
        <v>1500</v>
      </c>
      <c r="AO78" s="1" t="s">
        <v>113</v>
      </c>
      <c r="AP78" s="1" t="s">
        <v>113</v>
      </c>
      <c r="AQ78" s="1" t="s">
        <v>114</v>
      </c>
      <c r="AR78" s="1" t="s">
        <v>114</v>
      </c>
      <c r="AS78" s="1" t="s">
        <v>114</v>
      </c>
      <c r="AT78" s="1" t="s">
        <v>123</v>
      </c>
      <c r="AU78" s="1" t="s">
        <v>106</v>
      </c>
      <c r="AV78" s="1" t="s">
        <v>113</v>
      </c>
      <c r="AW78" s="1" t="s">
        <v>234</v>
      </c>
      <c r="AX78" s="1" t="s">
        <v>206</v>
      </c>
      <c r="AY78" s="1">
        <v>98</v>
      </c>
      <c r="AZ78" s="1" t="s">
        <v>113</v>
      </c>
      <c r="BA78" s="1" t="s">
        <v>113</v>
      </c>
      <c r="BB78" s="1" t="s">
        <v>125</v>
      </c>
      <c r="BC78" s="1" t="s">
        <v>166</v>
      </c>
      <c r="BD78" s="1">
        <v>0</v>
      </c>
      <c r="BE78" s="1">
        <v>100</v>
      </c>
      <c r="BF78" s="1" t="s">
        <v>167</v>
      </c>
      <c r="BG78" s="1" t="s">
        <v>116</v>
      </c>
      <c r="BH78" s="1" t="s">
        <v>168</v>
      </c>
      <c r="BI78" s="1" t="s">
        <v>168</v>
      </c>
      <c r="BJ78" s="1" t="s">
        <v>128</v>
      </c>
      <c r="BK78" s="1">
        <v>0</v>
      </c>
      <c r="BL78" s="1" t="s">
        <v>127</v>
      </c>
      <c r="BM78" s="1" t="s">
        <v>114</v>
      </c>
      <c r="BN78" s="1">
        <v>0</v>
      </c>
      <c r="BO78" s="1">
        <v>0</v>
      </c>
      <c r="BP78" s="1" t="s">
        <v>124</v>
      </c>
      <c r="BQ78" s="1" t="s">
        <v>114</v>
      </c>
      <c r="BR78" s="1" t="s">
        <v>1292</v>
      </c>
      <c r="BS78" s="1" t="s">
        <v>1293</v>
      </c>
      <c r="BT78" s="1" t="s">
        <v>172</v>
      </c>
      <c r="BU78" s="1" t="s">
        <v>239</v>
      </c>
      <c r="BV78" s="1" t="s">
        <v>1028</v>
      </c>
      <c r="BW78" s="1" t="s">
        <v>134</v>
      </c>
      <c r="BX78" s="1" t="s">
        <v>325</v>
      </c>
      <c r="BY78" s="1" t="s">
        <v>135</v>
      </c>
      <c r="BZ78" s="1" t="s">
        <v>114</v>
      </c>
      <c r="CA78" s="1">
        <v>2400</v>
      </c>
      <c r="CB78" s="1" t="s">
        <v>244</v>
      </c>
      <c r="CC78" s="1" t="s">
        <v>177</v>
      </c>
      <c r="CD78" s="1" t="s">
        <v>114</v>
      </c>
      <c r="CE78" s="1" t="s">
        <v>219</v>
      </c>
      <c r="CF78" s="1">
        <v>280000</v>
      </c>
      <c r="CG78" s="1">
        <v>780000</v>
      </c>
      <c r="CH78" s="1">
        <v>560000</v>
      </c>
      <c r="CI78" s="1">
        <v>0</v>
      </c>
      <c r="CJ78" s="1">
        <v>600000</v>
      </c>
      <c r="CK78" s="1">
        <v>780000</v>
      </c>
      <c r="CL78" s="1">
        <v>360</v>
      </c>
      <c r="CM78" s="1">
        <v>210</v>
      </c>
      <c r="CN78" s="1">
        <v>0</v>
      </c>
      <c r="CO78" s="1">
        <v>0</v>
      </c>
      <c r="CP78" s="1">
        <v>290</v>
      </c>
      <c r="CQ78" s="1">
        <v>0</v>
      </c>
      <c r="CR78" s="1" t="s">
        <v>139</v>
      </c>
      <c r="CS78" s="1" t="s">
        <v>140</v>
      </c>
      <c r="CT78" s="1" t="s">
        <v>1294</v>
      </c>
      <c r="CU78" s="1" t="s">
        <v>1295</v>
      </c>
      <c r="CV78" s="1" t="s">
        <v>907</v>
      </c>
      <c r="CW78" s="1" t="s">
        <v>251</v>
      </c>
      <c r="CX78" s="1" t="s">
        <v>114</v>
      </c>
      <c r="CY78" s="1" t="s">
        <v>114</v>
      </c>
      <c r="CZ78" s="1" t="s">
        <v>144</v>
      </c>
      <c r="DA78" s="1" t="s">
        <v>145</v>
      </c>
    </row>
    <row r="79" spans="1:105" s="3" customFormat="1" ht="11.25" customHeight="1" x14ac:dyDescent="0.2">
      <c r="A79" s="1">
        <v>41</v>
      </c>
      <c r="B79" s="1" t="s">
        <v>1297</v>
      </c>
      <c r="C79" s="1" t="s">
        <v>1296</v>
      </c>
      <c r="D79" s="1">
        <v>14975</v>
      </c>
      <c r="E79" s="2" t="s">
        <v>4201</v>
      </c>
      <c r="F79" s="1" t="s">
        <v>113</v>
      </c>
      <c r="G79" s="1" t="s">
        <v>190</v>
      </c>
      <c r="H79" s="1" t="s">
        <v>313</v>
      </c>
      <c r="I79" s="1" t="s">
        <v>229</v>
      </c>
      <c r="J79" s="1" t="s">
        <v>229</v>
      </c>
      <c r="L79" s="1" t="s">
        <v>111</v>
      </c>
      <c r="M79" s="1" t="s">
        <v>230</v>
      </c>
      <c r="N79" s="1" t="s">
        <v>112</v>
      </c>
      <c r="O79" s="1" t="s">
        <v>113</v>
      </c>
      <c r="P79" s="1" t="s">
        <v>113</v>
      </c>
      <c r="Q79" s="1" t="s">
        <v>1298</v>
      </c>
      <c r="R79" s="1" t="s">
        <v>127</v>
      </c>
      <c r="S79" s="1" t="s">
        <v>127</v>
      </c>
      <c r="T79" s="1" t="s">
        <v>106</v>
      </c>
      <c r="U79" s="1" t="s">
        <v>1299</v>
      </c>
      <c r="V79" s="1" t="s">
        <v>1300</v>
      </c>
      <c r="W79" s="1" t="s">
        <v>115</v>
      </c>
      <c r="X79" s="1" t="s">
        <v>113</v>
      </c>
      <c r="Z79" s="1">
        <v>0</v>
      </c>
      <c r="AA79" s="1" t="s">
        <v>127</v>
      </c>
      <c r="AB79" s="1" t="s">
        <v>128</v>
      </c>
      <c r="AC79" s="1" t="s">
        <v>128</v>
      </c>
      <c r="AD79" s="1">
        <v>0</v>
      </c>
      <c r="AE79" s="1" t="s">
        <v>127</v>
      </c>
      <c r="AF79" s="1">
        <v>0</v>
      </c>
      <c r="AG79" s="1" t="s">
        <v>113</v>
      </c>
      <c r="AH79" s="1">
        <v>0</v>
      </c>
      <c r="AI79" s="1">
        <v>0</v>
      </c>
      <c r="AJ79" s="1">
        <v>0</v>
      </c>
      <c r="AK79" s="1" t="s">
        <v>1301</v>
      </c>
      <c r="AM79" s="1" t="s">
        <v>1302</v>
      </c>
      <c r="AP79" s="1" t="s">
        <v>113</v>
      </c>
      <c r="AQ79" s="1" t="s">
        <v>127</v>
      </c>
      <c r="AR79" s="1" t="s">
        <v>127</v>
      </c>
      <c r="AS79" s="1" t="s">
        <v>127</v>
      </c>
      <c r="AT79" s="1" t="s">
        <v>204</v>
      </c>
      <c r="AU79" s="1" t="s">
        <v>106</v>
      </c>
      <c r="AV79" s="1" t="s">
        <v>113</v>
      </c>
      <c r="AW79" s="1" t="s">
        <v>164</v>
      </c>
      <c r="AY79" s="1">
        <v>0</v>
      </c>
      <c r="AZ79" s="1" t="s">
        <v>113</v>
      </c>
      <c r="BA79" s="1" t="s">
        <v>113</v>
      </c>
      <c r="BB79" s="1" t="s">
        <v>125</v>
      </c>
      <c r="BD79" s="1">
        <v>0</v>
      </c>
      <c r="BE79" s="1">
        <v>100</v>
      </c>
      <c r="BF79" s="1" t="s">
        <v>1165</v>
      </c>
      <c r="BG79" s="1" t="s">
        <v>132</v>
      </c>
      <c r="BJ79" s="1" t="s">
        <v>208</v>
      </c>
      <c r="BK79" s="1">
        <v>30</v>
      </c>
      <c r="BL79" s="1" t="s">
        <v>1151</v>
      </c>
      <c r="BM79" s="1" t="s">
        <v>472</v>
      </c>
      <c r="BN79" s="1">
        <v>5</v>
      </c>
      <c r="BP79" s="1" t="s">
        <v>115</v>
      </c>
      <c r="BQ79" s="1" t="s">
        <v>1303</v>
      </c>
      <c r="BR79" s="1" t="s">
        <v>1304</v>
      </c>
      <c r="BS79" s="1" t="s">
        <v>1305</v>
      </c>
      <c r="BT79" s="1" t="s">
        <v>172</v>
      </c>
      <c r="BU79" s="1" t="s">
        <v>132</v>
      </c>
      <c r="BV79" s="1" t="s">
        <v>1306</v>
      </c>
      <c r="BW79" s="1" t="s">
        <v>134</v>
      </c>
      <c r="BX79" s="1" t="s">
        <v>127</v>
      </c>
      <c r="BY79" s="1" t="s">
        <v>135</v>
      </c>
      <c r="BZ79" s="1" t="s">
        <v>1307</v>
      </c>
      <c r="CA79" s="1">
        <v>0</v>
      </c>
      <c r="CB79" s="1" t="s">
        <v>176</v>
      </c>
      <c r="CC79" s="1" t="s">
        <v>496</v>
      </c>
      <c r="CF79" s="1">
        <v>2036200.06</v>
      </c>
      <c r="CG79" s="1">
        <v>2040000</v>
      </c>
      <c r="CH79" s="1">
        <v>0</v>
      </c>
      <c r="CI79" s="1">
        <v>0</v>
      </c>
      <c r="CJ79" s="1">
        <v>0</v>
      </c>
      <c r="CK79" s="1">
        <v>0</v>
      </c>
      <c r="CL79" s="1">
        <v>0</v>
      </c>
      <c r="CM79" s="1">
        <v>0</v>
      </c>
      <c r="CN79" s="1">
        <v>0</v>
      </c>
      <c r="CO79" s="1">
        <v>0</v>
      </c>
      <c r="CP79" s="1">
        <v>0</v>
      </c>
      <c r="CQ79" s="1">
        <v>0</v>
      </c>
      <c r="CR79" s="1" t="s">
        <v>139</v>
      </c>
      <c r="CS79" s="1" t="s">
        <v>1308</v>
      </c>
      <c r="CT79" s="1" t="s">
        <v>1309</v>
      </c>
      <c r="CW79" s="1" t="s">
        <v>184</v>
      </c>
      <c r="CX79" s="1" t="s">
        <v>1310</v>
      </c>
      <c r="CY79" s="1" t="s">
        <v>276</v>
      </c>
      <c r="CZ79" s="1" t="s">
        <v>144</v>
      </c>
      <c r="DA79" s="1" t="s">
        <v>145</v>
      </c>
    </row>
    <row r="80" spans="1:105" s="3" customFormat="1" ht="11.25" customHeight="1" x14ac:dyDescent="0.2">
      <c r="A80" s="1">
        <v>41</v>
      </c>
      <c r="B80" s="1" t="s">
        <v>1312</v>
      </c>
      <c r="C80" s="1" t="s">
        <v>1311</v>
      </c>
      <c r="D80" s="1">
        <v>240720</v>
      </c>
      <c r="E80" s="2" t="s">
        <v>4201</v>
      </c>
      <c r="F80" s="1" t="s">
        <v>106</v>
      </c>
      <c r="G80" s="1" t="s">
        <v>107</v>
      </c>
      <c r="H80" s="1" t="s">
        <v>1313</v>
      </c>
      <c r="I80" s="1" t="s">
        <v>109</v>
      </c>
      <c r="J80" s="1" t="s">
        <v>106</v>
      </c>
      <c r="K80" s="1" t="s">
        <v>1314</v>
      </c>
      <c r="L80" s="1" t="s">
        <v>111</v>
      </c>
      <c r="M80" s="1" t="s">
        <v>191</v>
      </c>
      <c r="N80" s="1" t="s">
        <v>1315</v>
      </c>
      <c r="O80" s="1" t="s">
        <v>113</v>
      </c>
      <c r="P80" s="1" t="s">
        <v>113</v>
      </c>
      <c r="Q80" s="1" t="s">
        <v>152</v>
      </c>
      <c r="R80" s="1" t="s">
        <v>1316</v>
      </c>
      <c r="S80" s="1" t="s">
        <v>1317</v>
      </c>
      <c r="T80" s="1" t="s">
        <v>106</v>
      </c>
      <c r="U80" s="1" t="s">
        <v>1318</v>
      </c>
      <c r="V80" s="1" t="s">
        <v>1319</v>
      </c>
      <c r="W80" s="1" t="s">
        <v>199</v>
      </c>
      <c r="X80" s="1" t="s">
        <v>113</v>
      </c>
      <c r="Y80" s="1" t="s">
        <v>1320</v>
      </c>
      <c r="Z80" s="1">
        <v>100</v>
      </c>
      <c r="AA80" s="1" t="s">
        <v>132</v>
      </c>
      <c r="AB80" s="1" t="s">
        <v>128</v>
      </c>
      <c r="AC80" s="1" t="s">
        <v>384</v>
      </c>
      <c r="AD80" s="1">
        <v>100</v>
      </c>
      <c r="AE80" s="1" t="s">
        <v>132</v>
      </c>
      <c r="AF80" s="1">
        <v>54000</v>
      </c>
      <c r="AG80" s="1" t="s">
        <v>113</v>
      </c>
      <c r="AH80" s="1">
        <v>0</v>
      </c>
      <c r="AJ80" s="1">
        <v>0</v>
      </c>
      <c r="AK80" s="1" t="s">
        <v>408</v>
      </c>
      <c r="AL80" s="1">
        <v>18000</v>
      </c>
      <c r="AM80" s="1" t="s">
        <v>120</v>
      </c>
      <c r="AN80" s="1">
        <v>0</v>
      </c>
      <c r="AO80" s="1" t="s">
        <v>113</v>
      </c>
      <c r="AP80" s="1" t="s">
        <v>106</v>
      </c>
      <c r="AQ80" s="1" t="s">
        <v>157</v>
      </c>
      <c r="AR80" s="1" t="s">
        <v>1321</v>
      </c>
      <c r="AS80" s="1" t="s">
        <v>157</v>
      </c>
      <c r="AT80" s="1" t="s">
        <v>1322</v>
      </c>
      <c r="AU80" s="1" t="s">
        <v>106</v>
      </c>
      <c r="AV80" s="1" t="s">
        <v>113</v>
      </c>
      <c r="AW80" s="1" t="s">
        <v>234</v>
      </c>
      <c r="AX80" s="1" t="s">
        <v>1073</v>
      </c>
      <c r="AY80" s="1">
        <v>1000</v>
      </c>
      <c r="AZ80" s="1" t="s">
        <v>113</v>
      </c>
      <c r="BA80" s="1" t="s">
        <v>113</v>
      </c>
      <c r="BB80" s="1" t="s">
        <v>1323</v>
      </c>
      <c r="BC80" s="1" t="s">
        <v>762</v>
      </c>
      <c r="BD80" s="1">
        <v>50</v>
      </c>
      <c r="BE80" s="1">
        <v>100</v>
      </c>
      <c r="BF80" s="1" t="s">
        <v>167</v>
      </c>
      <c r="BG80" s="1" t="s">
        <v>132</v>
      </c>
      <c r="BI80" s="1" t="s">
        <v>569</v>
      </c>
      <c r="BJ80" s="1" t="s">
        <v>384</v>
      </c>
      <c r="BK80" s="1">
        <v>100</v>
      </c>
      <c r="BL80" s="1" t="s">
        <v>167</v>
      </c>
      <c r="BM80" s="1" t="s">
        <v>472</v>
      </c>
      <c r="BN80" s="1" t="s">
        <v>276</v>
      </c>
      <c r="BP80" s="1" t="s">
        <v>115</v>
      </c>
      <c r="BQ80" s="1" t="s">
        <v>1324</v>
      </c>
      <c r="BR80" s="1" t="s">
        <v>157</v>
      </c>
      <c r="BS80" s="1" t="s">
        <v>157</v>
      </c>
      <c r="BT80" s="1" t="s">
        <v>172</v>
      </c>
      <c r="BU80" s="1" t="s">
        <v>132</v>
      </c>
      <c r="BV80" s="1" t="s">
        <v>1325</v>
      </c>
      <c r="BW80" s="1" t="s">
        <v>134</v>
      </c>
      <c r="BX80" s="1" t="s">
        <v>157</v>
      </c>
      <c r="BY80" s="1" t="s">
        <v>135</v>
      </c>
      <c r="BZ80" s="1" t="s">
        <v>157</v>
      </c>
      <c r="CA80" s="1">
        <v>50000</v>
      </c>
      <c r="CB80" s="1" t="s">
        <v>176</v>
      </c>
      <c r="CC80" s="1" t="s">
        <v>217</v>
      </c>
      <c r="CF80" s="1">
        <v>2000</v>
      </c>
      <c r="CG80" s="1">
        <v>18000</v>
      </c>
      <c r="CH80" s="1">
        <v>253.81</v>
      </c>
      <c r="CI80" s="1">
        <v>77.650000000000006</v>
      </c>
      <c r="CJ80" s="1">
        <v>97.86</v>
      </c>
      <c r="CK80" s="1">
        <v>0</v>
      </c>
      <c r="CL80" s="1">
        <v>10</v>
      </c>
      <c r="CM80" s="1">
        <v>97</v>
      </c>
      <c r="CN80" s="1">
        <v>0</v>
      </c>
      <c r="CO80" s="1">
        <v>0</v>
      </c>
      <c r="CP80" s="1">
        <v>0</v>
      </c>
      <c r="CQ80" s="1">
        <v>0</v>
      </c>
      <c r="CR80" s="1" t="s">
        <v>139</v>
      </c>
      <c r="CS80" s="1" t="s">
        <v>140</v>
      </c>
      <c r="CT80" s="1" t="s">
        <v>1326</v>
      </c>
      <c r="CU80" s="1" t="s">
        <v>460</v>
      </c>
      <c r="CW80" s="1" t="s">
        <v>251</v>
      </c>
      <c r="CX80" s="1" t="s">
        <v>157</v>
      </c>
      <c r="CY80" s="1" t="s">
        <v>276</v>
      </c>
      <c r="CZ80" s="1" t="s">
        <v>144</v>
      </c>
      <c r="DA80" s="1" t="s">
        <v>145</v>
      </c>
    </row>
    <row r="81" spans="1:105" s="3" customFormat="1" ht="11.25" customHeight="1" x14ac:dyDescent="0.2">
      <c r="A81" s="1">
        <v>41</v>
      </c>
      <c r="B81" s="1" t="s">
        <v>1328</v>
      </c>
      <c r="C81" s="1" t="s">
        <v>1327</v>
      </c>
      <c r="D81" s="1">
        <v>23278</v>
      </c>
      <c r="E81" s="2" t="s">
        <v>4201</v>
      </c>
      <c r="F81" s="1" t="s">
        <v>113</v>
      </c>
      <c r="G81" s="1" t="s">
        <v>1329</v>
      </c>
      <c r="H81" s="1" t="s">
        <v>114</v>
      </c>
      <c r="I81" s="1" t="s">
        <v>229</v>
      </c>
      <c r="J81" s="1" t="s">
        <v>229</v>
      </c>
      <c r="K81" s="1" t="s">
        <v>1330</v>
      </c>
      <c r="L81" s="1" t="s">
        <v>149</v>
      </c>
      <c r="M81" s="1" t="s">
        <v>1331</v>
      </c>
      <c r="N81" s="1" t="s">
        <v>484</v>
      </c>
      <c r="O81" s="1" t="s">
        <v>106</v>
      </c>
      <c r="P81" s="1" t="s">
        <v>113</v>
      </c>
      <c r="Q81" s="1" t="s">
        <v>195</v>
      </c>
      <c r="R81" s="1" t="s">
        <v>753</v>
      </c>
      <c r="S81" s="1" t="s">
        <v>1332</v>
      </c>
      <c r="T81" s="1" t="s">
        <v>106</v>
      </c>
      <c r="U81" s="1" t="s">
        <v>1331</v>
      </c>
      <c r="V81" s="1" t="s">
        <v>1333</v>
      </c>
      <c r="W81" s="1" t="s">
        <v>199</v>
      </c>
      <c r="X81" s="1" t="s">
        <v>113</v>
      </c>
      <c r="Y81" s="1" t="s">
        <v>1334</v>
      </c>
      <c r="Z81" s="1">
        <v>100</v>
      </c>
      <c r="AA81" s="1" t="s">
        <v>159</v>
      </c>
      <c r="AB81" s="1" t="s">
        <v>128</v>
      </c>
      <c r="AC81" s="1" t="s">
        <v>128</v>
      </c>
      <c r="AD81" s="1">
        <v>0</v>
      </c>
      <c r="AE81" s="1" t="s">
        <v>157</v>
      </c>
      <c r="AF81" s="1">
        <v>5400</v>
      </c>
      <c r="AG81" s="1" t="s">
        <v>106</v>
      </c>
      <c r="AH81" s="1">
        <v>64</v>
      </c>
      <c r="AI81" s="1">
        <v>23</v>
      </c>
      <c r="AJ81" s="1">
        <v>13</v>
      </c>
      <c r="AK81" s="1" t="s">
        <v>530</v>
      </c>
      <c r="AL81" s="1">
        <v>12</v>
      </c>
      <c r="AM81" s="1" t="s">
        <v>120</v>
      </c>
      <c r="AN81" s="1">
        <v>12</v>
      </c>
      <c r="AO81" s="1" t="s">
        <v>113</v>
      </c>
      <c r="AP81" s="1" t="s">
        <v>106</v>
      </c>
      <c r="AQ81" s="1" t="s">
        <v>1335</v>
      </c>
      <c r="AR81" s="1" t="s">
        <v>1336</v>
      </c>
      <c r="AS81" s="1" t="s">
        <v>1337</v>
      </c>
      <c r="AT81" s="1" t="s">
        <v>204</v>
      </c>
      <c r="AU81" s="1" t="s">
        <v>113</v>
      </c>
      <c r="AV81" s="1" t="s">
        <v>106</v>
      </c>
      <c r="AW81" s="1" t="s">
        <v>234</v>
      </c>
      <c r="AX81" s="1" t="s">
        <v>1113</v>
      </c>
      <c r="AY81" s="1">
        <v>168</v>
      </c>
      <c r="AZ81" s="1" t="s">
        <v>113</v>
      </c>
      <c r="BA81" s="1" t="s">
        <v>113</v>
      </c>
      <c r="BB81" s="1" t="s">
        <v>125</v>
      </c>
      <c r="BC81" s="1" t="s">
        <v>166</v>
      </c>
      <c r="BD81" s="1">
        <v>0</v>
      </c>
      <c r="BE81" s="1">
        <v>100</v>
      </c>
      <c r="BF81" s="1" t="s">
        <v>167</v>
      </c>
      <c r="BG81" s="1" t="s">
        <v>383</v>
      </c>
      <c r="BH81" s="1" t="s">
        <v>269</v>
      </c>
      <c r="BI81" s="1" t="s">
        <v>269</v>
      </c>
      <c r="BJ81" s="1" t="s">
        <v>208</v>
      </c>
      <c r="BK81" s="1">
        <v>15</v>
      </c>
      <c r="BL81" s="1" t="s">
        <v>167</v>
      </c>
      <c r="BM81" s="1" t="s">
        <v>271</v>
      </c>
      <c r="BN81" s="1" t="s">
        <v>143</v>
      </c>
      <c r="BP81" s="1" t="s">
        <v>115</v>
      </c>
      <c r="BQ81" s="1" t="s">
        <v>1338</v>
      </c>
      <c r="BR81" s="1" t="s">
        <v>1339</v>
      </c>
      <c r="BS81" s="1" t="s">
        <v>1340</v>
      </c>
      <c r="BT81" s="1" t="s">
        <v>172</v>
      </c>
      <c r="BU81" s="1" t="s">
        <v>132</v>
      </c>
      <c r="BV81" s="1" t="s">
        <v>951</v>
      </c>
      <c r="BW81" s="1" t="s">
        <v>134</v>
      </c>
      <c r="BX81" s="1" t="s">
        <v>1341</v>
      </c>
      <c r="BY81" s="1" t="s">
        <v>135</v>
      </c>
      <c r="BZ81" s="1" t="s">
        <v>1342</v>
      </c>
      <c r="CA81" s="1">
        <v>5400</v>
      </c>
      <c r="CB81" s="1" t="s">
        <v>244</v>
      </c>
      <c r="CC81" s="1" t="s">
        <v>217</v>
      </c>
      <c r="CD81" s="1" t="s">
        <v>1343</v>
      </c>
      <c r="CE81" s="1" t="s">
        <v>219</v>
      </c>
      <c r="CF81" s="1">
        <v>330910.84999999998</v>
      </c>
      <c r="CG81" s="1">
        <v>6378308.0700000003</v>
      </c>
      <c r="CH81" s="1">
        <v>5320702.07</v>
      </c>
      <c r="CI81" s="1">
        <v>0</v>
      </c>
      <c r="CJ81" s="1">
        <v>860800.48</v>
      </c>
      <c r="CK81" s="1">
        <v>0</v>
      </c>
      <c r="CL81" s="1">
        <v>1996805</v>
      </c>
      <c r="CM81" s="1">
        <v>0</v>
      </c>
      <c r="CN81" s="1">
        <v>0</v>
      </c>
      <c r="CO81" s="1">
        <v>0</v>
      </c>
      <c r="CP81" s="1">
        <v>0</v>
      </c>
      <c r="CQ81" s="1">
        <v>0</v>
      </c>
      <c r="CR81" s="1" t="s">
        <v>139</v>
      </c>
      <c r="CS81" s="1" t="s">
        <v>140</v>
      </c>
      <c r="CT81" s="1" t="s">
        <v>498</v>
      </c>
      <c r="CU81" s="1" t="s">
        <v>249</v>
      </c>
      <c r="CV81" s="1" t="s">
        <v>679</v>
      </c>
      <c r="CW81" s="1" t="s">
        <v>284</v>
      </c>
      <c r="CX81" s="1" t="s">
        <v>1344</v>
      </c>
      <c r="CY81" s="1" t="s">
        <v>1345</v>
      </c>
      <c r="CZ81" s="1" t="s">
        <v>144</v>
      </c>
      <c r="DA81" s="1" t="s">
        <v>145</v>
      </c>
    </row>
    <row r="82" spans="1:105" s="3" customFormat="1" ht="11.25" customHeight="1" x14ac:dyDescent="0.2">
      <c r="A82" s="1">
        <v>41</v>
      </c>
      <c r="B82" s="1" t="s">
        <v>1347</v>
      </c>
      <c r="C82" s="1" t="s">
        <v>1346</v>
      </c>
      <c r="D82" s="1">
        <v>19827</v>
      </c>
      <c r="E82" s="2" t="s">
        <v>4201</v>
      </c>
      <c r="F82" s="1" t="s">
        <v>106</v>
      </c>
      <c r="G82" s="1" t="s">
        <v>107</v>
      </c>
      <c r="H82" s="1" t="s">
        <v>108</v>
      </c>
      <c r="I82" s="1" t="s">
        <v>1348</v>
      </c>
      <c r="J82" s="1" t="s">
        <v>106</v>
      </c>
      <c r="K82" s="1" t="s">
        <v>110</v>
      </c>
      <c r="L82" s="1" t="s">
        <v>111</v>
      </c>
      <c r="M82" s="1" t="s">
        <v>191</v>
      </c>
      <c r="N82" s="1" t="s">
        <v>1349</v>
      </c>
      <c r="O82" s="1" t="s">
        <v>106</v>
      </c>
      <c r="P82" s="1" t="s">
        <v>113</v>
      </c>
      <c r="Q82" s="1" t="s">
        <v>152</v>
      </c>
      <c r="R82" s="1" t="s">
        <v>157</v>
      </c>
      <c r="S82" s="1" t="s">
        <v>1350</v>
      </c>
      <c r="T82" s="1" t="s">
        <v>106</v>
      </c>
      <c r="U82" s="1" t="s">
        <v>157</v>
      </c>
      <c r="V82" s="1" t="s">
        <v>1351</v>
      </c>
      <c r="W82" s="1" t="s">
        <v>115</v>
      </c>
      <c r="X82" s="1" t="s">
        <v>113</v>
      </c>
      <c r="Y82" s="1" t="s">
        <v>157</v>
      </c>
      <c r="Z82" s="1">
        <v>100</v>
      </c>
      <c r="AA82" s="1" t="s">
        <v>132</v>
      </c>
      <c r="AB82" s="1" t="s">
        <v>158</v>
      </c>
      <c r="AC82" s="1" t="s">
        <v>384</v>
      </c>
      <c r="AD82" s="1">
        <v>100</v>
      </c>
      <c r="AE82" s="1" t="s">
        <v>159</v>
      </c>
      <c r="AF82" s="1">
        <v>2921</v>
      </c>
      <c r="AG82" s="1" t="s">
        <v>113</v>
      </c>
      <c r="AH82" s="1">
        <v>0</v>
      </c>
      <c r="AI82" s="1">
        <v>0</v>
      </c>
      <c r="AJ82" s="1">
        <v>0</v>
      </c>
      <c r="AK82" s="1" t="s">
        <v>626</v>
      </c>
      <c r="AL82" s="1">
        <v>1000</v>
      </c>
      <c r="AM82" s="1" t="s">
        <v>120</v>
      </c>
      <c r="AN82" s="1">
        <v>500</v>
      </c>
      <c r="AO82" s="1" t="s">
        <v>113</v>
      </c>
      <c r="AP82" s="1" t="s">
        <v>113</v>
      </c>
      <c r="AQ82" s="1" t="s">
        <v>157</v>
      </c>
      <c r="AR82" s="1" t="s">
        <v>157</v>
      </c>
      <c r="AS82" s="1" t="s">
        <v>157</v>
      </c>
      <c r="AT82" s="1" t="s">
        <v>123</v>
      </c>
      <c r="AU82" s="1" t="s">
        <v>113</v>
      </c>
      <c r="AV82" s="1" t="s">
        <v>113</v>
      </c>
      <c r="AW82" s="1" t="s">
        <v>164</v>
      </c>
      <c r="AX82" s="1" t="s">
        <v>165</v>
      </c>
      <c r="AY82" s="1">
        <v>0</v>
      </c>
      <c r="AZ82" s="1" t="s">
        <v>113</v>
      </c>
      <c r="BA82" s="1" t="s">
        <v>113</v>
      </c>
      <c r="BB82" s="1" t="s">
        <v>125</v>
      </c>
      <c r="BC82" s="1" t="s">
        <v>166</v>
      </c>
      <c r="BD82" s="1">
        <v>0</v>
      </c>
      <c r="BE82" s="1">
        <v>100</v>
      </c>
      <c r="BF82" s="1" t="s">
        <v>630</v>
      </c>
      <c r="BG82" s="1" t="s">
        <v>383</v>
      </c>
      <c r="BH82" s="1" t="s">
        <v>269</v>
      </c>
      <c r="BI82" s="1" t="s">
        <v>269</v>
      </c>
      <c r="BJ82" s="1" t="s">
        <v>384</v>
      </c>
      <c r="BK82" s="1">
        <v>100</v>
      </c>
      <c r="BL82" s="1" t="s">
        <v>1151</v>
      </c>
      <c r="BM82" s="1" t="s">
        <v>386</v>
      </c>
      <c r="BN82" s="1">
        <v>9</v>
      </c>
      <c r="BO82" s="1">
        <v>0</v>
      </c>
      <c r="BP82" s="1" t="s">
        <v>115</v>
      </c>
      <c r="BQ82" s="1" t="s">
        <v>1352</v>
      </c>
      <c r="BR82" s="1" t="s">
        <v>1353</v>
      </c>
      <c r="BS82" s="1" t="s">
        <v>130</v>
      </c>
      <c r="BT82" s="1" t="s">
        <v>172</v>
      </c>
      <c r="BU82" s="1" t="s">
        <v>1354</v>
      </c>
      <c r="BV82" s="1" t="s">
        <v>1355</v>
      </c>
      <c r="BW82" s="1" t="s">
        <v>298</v>
      </c>
      <c r="BX82" s="1" t="s">
        <v>1356</v>
      </c>
      <c r="BY82" s="1" t="s">
        <v>135</v>
      </c>
      <c r="BZ82" s="1" t="s">
        <v>1357</v>
      </c>
      <c r="CA82" s="1">
        <v>2270</v>
      </c>
      <c r="CB82" s="1" t="s">
        <v>216</v>
      </c>
      <c r="CC82" s="1" t="s">
        <v>217</v>
      </c>
      <c r="CD82" s="1" t="s">
        <v>1358</v>
      </c>
      <c r="CE82" s="1" t="s">
        <v>219</v>
      </c>
      <c r="CF82" s="1">
        <v>407365.73</v>
      </c>
      <c r="CG82" s="1">
        <v>2049845.02</v>
      </c>
      <c r="CH82" s="1">
        <v>1400518.71</v>
      </c>
      <c r="CI82" s="1">
        <v>0</v>
      </c>
      <c r="CJ82" s="1">
        <v>247486.62</v>
      </c>
      <c r="CK82" s="1">
        <v>449805.29</v>
      </c>
      <c r="CL82" s="1">
        <v>144000</v>
      </c>
      <c r="CM82" s="1">
        <v>0</v>
      </c>
      <c r="CN82" s="1">
        <v>0</v>
      </c>
      <c r="CO82" s="1">
        <v>0</v>
      </c>
      <c r="CP82" s="1">
        <v>0</v>
      </c>
      <c r="CQ82" s="1">
        <v>0</v>
      </c>
      <c r="CR82" s="1" t="s">
        <v>180</v>
      </c>
      <c r="CS82" s="1" t="s">
        <v>308</v>
      </c>
      <c r="CT82" s="1" t="s">
        <v>223</v>
      </c>
      <c r="CU82" s="1" t="s">
        <v>182</v>
      </c>
      <c r="CV82" s="1" t="s">
        <v>1359</v>
      </c>
      <c r="CW82" s="1" t="s">
        <v>251</v>
      </c>
      <c r="CX82" s="1" t="s">
        <v>157</v>
      </c>
      <c r="CY82" s="1" t="s">
        <v>276</v>
      </c>
      <c r="CZ82" s="1" t="s">
        <v>144</v>
      </c>
      <c r="DA82" s="1" t="s">
        <v>145</v>
      </c>
    </row>
    <row r="83" spans="1:105" s="3" customFormat="1" ht="11.25" customHeight="1" x14ac:dyDescent="0.2">
      <c r="A83" s="1">
        <v>41</v>
      </c>
      <c r="B83" s="1" t="s">
        <v>1361</v>
      </c>
      <c r="C83" s="1" t="s">
        <v>1360</v>
      </c>
      <c r="D83" s="1">
        <v>17862</v>
      </c>
      <c r="E83" s="2" t="s">
        <v>4201</v>
      </c>
      <c r="F83" s="1" t="s">
        <v>106</v>
      </c>
      <c r="G83" s="1" t="s">
        <v>1362</v>
      </c>
      <c r="H83" s="1" t="s">
        <v>372</v>
      </c>
      <c r="I83" s="1" t="s">
        <v>193</v>
      </c>
      <c r="J83" s="1" t="s">
        <v>113</v>
      </c>
      <c r="L83" s="1" t="s">
        <v>111</v>
      </c>
      <c r="M83" s="1" t="s">
        <v>111</v>
      </c>
      <c r="N83" s="1" t="s">
        <v>112</v>
      </c>
      <c r="O83" s="1" t="s">
        <v>106</v>
      </c>
      <c r="P83" s="1" t="s">
        <v>113</v>
      </c>
      <c r="Q83" s="1" t="s">
        <v>195</v>
      </c>
      <c r="R83" s="1" t="s">
        <v>1363</v>
      </c>
      <c r="S83" s="1" t="s">
        <v>114</v>
      </c>
      <c r="T83" s="1" t="s">
        <v>113</v>
      </c>
      <c r="U83" s="1" t="s">
        <v>114</v>
      </c>
      <c r="W83" s="1" t="s">
        <v>115</v>
      </c>
      <c r="X83" s="1" t="s">
        <v>113</v>
      </c>
      <c r="Y83" s="1" t="s">
        <v>114</v>
      </c>
      <c r="Z83" s="1">
        <v>100</v>
      </c>
      <c r="AA83" s="1" t="s">
        <v>116</v>
      </c>
      <c r="AB83" s="1" t="s">
        <v>128</v>
      </c>
      <c r="AC83" s="1" t="s">
        <v>118</v>
      </c>
      <c r="AD83" s="1">
        <v>30</v>
      </c>
      <c r="AE83" s="1" t="s">
        <v>116</v>
      </c>
      <c r="AF83" s="1" t="s">
        <v>1364</v>
      </c>
      <c r="AG83" s="1" t="s">
        <v>106</v>
      </c>
      <c r="AH83" s="1">
        <v>60</v>
      </c>
      <c r="AI83" s="1">
        <v>16</v>
      </c>
      <c r="AJ83" s="1">
        <v>24</v>
      </c>
      <c r="AK83" s="1" t="s">
        <v>758</v>
      </c>
      <c r="AL83" s="5" t="s">
        <v>1365</v>
      </c>
      <c r="AM83" s="1" t="s">
        <v>1302</v>
      </c>
      <c r="AN83" s="5" t="s">
        <v>1365</v>
      </c>
      <c r="AO83" s="1" t="s">
        <v>113</v>
      </c>
      <c r="AP83" s="1" t="s">
        <v>106</v>
      </c>
      <c r="AQ83" s="1">
        <v>210785</v>
      </c>
      <c r="AR83" s="1" t="s">
        <v>1366</v>
      </c>
      <c r="AS83" s="1" t="s">
        <v>1367</v>
      </c>
      <c r="AT83" s="1" t="s">
        <v>123</v>
      </c>
      <c r="AU83" s="1" t="s">
        <v>113</v>
      </c>
      <c r="AV83" s="1" t="s">
        <v>113</v>
      </c>
      <c r="AW83" s="1" t="s">
        <v>164</v>
      </c>
      <c r="AX83" s="1" t="s">
        <v>206</v>
      </c>
      <c r="AY83" s="1">
        <v>226</v>
      </c>
      <c r="AZ83" s="1" t="s">
        <v>113</v>
      </c>
      <c r="BA83" s="1" t="s">
        <v>113</v>
      </c>
      <c r="BB83" s="1" t="s">
        <v>125</v>
      </c>
      <c r="BD83" s="5" t="s">
        <v>220</v>
      </c>
      <c r="BE83" s="1">
        <v>100</v>
      </c>
      <c r="BF83" s="1" t="s">
        <v>167</v>
      </c>
      <c r="BG83" s="1" t="s">
        <v>383</v>
      </c>
      <c r="BH83" s="1" t="s">
        <v>269</v>
      </c>
      <c r="BI83" s="1" t="s">
        <v>269</v>
      </c>
      <c r="BJ83" s="1" t="s">
        <v>208</v>
      </c>
      <c r="BK83" s="1">
        <v>50</v>
      </c>
      <c r="BL83" s="1" t="s">
        <v>167</v>
      </c>
      <c r="BM83" s="1" t="s">
        <v>386</v>
      </c>
      <c r="BN83" s="1">
        <v>43</v>
      </c>
      <c r="BO83" s="5" t="s">
        <v>220</v>
      </c>
      <c r="BP83" s="1" t="s">
        <v>115</v>
      </c>
      <c r="BQ83" s="1" t="s">
        <v>1368</v>
      </c>
      <c r="BR83" s="1" t="s">
        <v>1369</v>
      </c>
      <c r="BS83" s="1" t="s">
        <v>1370</v>
      </c>
      <c r="BT83" s="1" t="s">
        <v>172</v>
      </c>
      <c r="BU83" s="1" t="s">
        <v>132</v>
      </c>
      <c r="BV83" s="1" t="s">
        <v>1191</v>
      </c>
      <c r="BW83" s="1" t="s">
        <v>134</v>
      </c>
      <c r="BX83" s="1" t="s">
        <v>135</v>
      </c>
      <c r="BY83" s="1" t="s">
        <v>135</v>
      </c>
      <c r="BZ83" s="1" t="s">
        <v>903</v>
      </c>
      <c r="CA83" s="1" t="s">
        <v>1364</v>
      </c>
      <c r="CB83" s="1" t="s">
        <v>244</v>
      </c>
      <c r="CC83" s="1" t="s">
        <v>496</v>
      </c>
      <c r="CD83" s="1" t="s">
        <v>1371</v>
      </c>
      <c r="CE83" s="1" t="s">
        <v>478</v>
      </c>
      <c r="CF83" s="1" t="s">
        <v>1372</v>
      </c>
      <c r="CG83" s="6">
        <v>2435665.6800000002</v>
      </c>
      <c r="CH83" s="1">
        <v>240.29</v>
      </c>
      <c r="CI83" s="5" t="s">
        <v>126</v>
      </c>
      <c r="CJ83" s="1">
        <v>477.26</v>
      </c>
      <c r="CK83" s="1">
        <v>555.33000000000004</v>
      </c>
      <c r="CL83" s="1" t="s">
        <v>1373</v>
      </c>
      <c r="CM83" s="1">
        <v>390</v>
      </c>
      <c r="CN83" s="5" t="s">
        <v>126</v>
      </c>
      <c r="CO83" s="5" t="s">
        <v>126</v>
      </c>
      <c r="CP83" s="5" t="s">
        <v>126</v>
      </c>
      <c r="CQ83" s="5" t="s">
        <v>126</v>
      </c>
      <c r="CR83" s="1" t="s">
        <v>139</v>
      </c>
      <c r="CS83" s="1" t="s">
        <v>140</v>
      </c>
      <c r="CT83" s="1" t="s">
        <v>1374</v>
      </c>
      <c r="CV83" s="1" t="s">
        <v>500</v>
      </c>
      <c r="CW83" s="1" t="s">
        <v>184</v>
      </c>
      <c r="CX83" s="1" t="s">
        <v>1375</v>
      </c>
      <c r="CY83" s="1" t="s">
        <v>143</v>
      </c>
      <c r="CZ83" s="1" t="s">
        <v>144</v>
      </c>
      <c r="DA83" s="1" t="s">
        <v>145</v>
      </c>
    </row>
    <row r="84" spans="1:105" s="3" customFormat="1" ht="11.25" customHeight="1" x14ac:dyDescent="0.2">
      <c r="A84" s="1">
        <v>41</v>
      </c>
      <c r="B84" s="1" t="s">
        <v>1377</v>
      </c>
      <c r="C84" s="1" t="s">
        <v>1376</v>
      </c>
      <c r="D84" s="1">
        <v>5516</v>
      </c>
      <c r="E84" s="2" t="s">
        <v>4201</v>
      </c>
      <c r="F84" s="1" t="s">
        <v>113</v>
      </c>
      <c r="G84" s="1" t="s">
        <v>190</v>
      </c>
      <c r="H84" s="1" t="s">
        <v>332</v>
      </c>
      <c r="I84" s="1" t="s">
        <v>229</v>
      </c>
      <c r="J84" s="1" t="s">
        <v>106</v>
      </c>
      <c r="K84" s="1" t="s">
        <v>332</v>
      </c>
      <c r="L84" s="1" t="s">
        <v>111</v>
      </c>
      <c r="M84" s="1" t="s">
        <v>1378</v>
      </c>
      <c r="N84" s="1" t="s">
        <v>112</v>
      </c>
      <c r="O84" s="1" t="s">
        <v>106</v>
      </c>
      <c r="P84" s="1" t="s">
        <v>113</v>
      </c>
      <c r="Q84" s="1" t="s">
        <v>152</v>
      </c>
      <c r="R84" s="1" t="s">
        <v>1379</v>
      </c>
      <c r="S84" s="1" t="s">
        <v>1380</v>
      </c>
      <c r="T84" s="1" t="s">
        <v>113</v>
      </c>
      <c r="U84" s="1" t="s">
        <v>191</v>
      </c>
      <c r="V84" s="1" t="s">
        <v>1381</v>
      </c>
      <c r="W84" s="1" t="s">
        <v>115</v>
      </c>
      <c r="X84" s="1" t="s">
        <v>113</v>
      </c>
      <c r="Y84" s="1" t="s">
        <v>191</v>
      </c>
      <c r="Z84" s="1">
        <v>100</v>
      </c>
      <c r="AA84" s="1" t="s">
        <v>132</v>
      </c>
      <c r="AB84" s="1" t="s">
        <v>128</v>
      </c>
      <c r="AC84" s="1" t="s">
        <v>128</v>
      </c>
      <c r="AD84" s="1">
        <v>10</v>
      </c>
      <c r="AE84" s="1" t="s">
        <v>132</v>
      </c>
      <c r="AF84" s="1">
        <v>40</v>
      </c>
      <c r="AG84" s="1" t="s">
        <v>113</v>
      </c>
      <c r="AH84" s="1">
        <v>70</v>
      </c>
      <c r="AI84" s="1">
        <v>10</v>
      </c>
      <c r="AJ84" s="1">
        <v>15</v>
      </c>
      <c r="AK84" s="1" t="s">
        <v>758</v>
      </c>
      <c r="AL84" s="1">
        <v>8</v>
      </c>
      <c r="AM84" s="1" t="s">
        <v>131</v>
      </c>
      <c r="AN84" s="1">
        <v>8</v>
      </c>
      <c r="AO84" s="1" t="s">
        <v>113</v>
      </c>
      <c r="AP84" s="1" t="s">
        <v>106</v>
      </c>
      <c r="AQ84" s="1" t="s">
        <v>1382</v>
      </c>
      <c r="AR84" s="1" t="s">
        <v>1383</v>
      </c>
      <c r="AS84" s="1" t="s">
        <v>1384</v>
      </c>
      <c r="AT84" s="1" t="s">
        <v>123</v>
      </c>
      <c r="AU84" s="1" t="s">
        <v>113</v>
      </c>
      <c r="AV84" s="1" t="s">
        <v>113</v>
      </c>
      <c r="AW84" s="1" t="s">
        <v>164</v>
      </c>
      <c r="AX84" s="1" t="s">
        <v>165</v>
      </c>
      <c r="AY84" s="1">
        <v>0</v>
      </c>
      <c r="AZ84" s="1" t="s">
        <v>113</v>
      </c>
      <c r="BA84" s="1" t="s">
        <v>113</v>
      </c>
      <c r="BB84" s="1" t="s">
        <v>125</v>
      </c>
      <c r="BC84" s="1" t="s">
        <v>166</v>
      </c>
      <c r="BD84" s="1">
        <v>0</v>
      </c>
      <c r="BE84" s="1">
        <v>0</v>
      </c>
      <c r="BF84" s="1" t="s">
        <v>127</v>
      </c>
      <c r="BG84" s="1" t="s">
        <v>127</v>
      </c>
      <c r="BH84" s="1" t="s">
        <v>168</v>
      </c>
      <c r="BI84" s="1" t="s">
        <v>168</v>
      </c>
      <c r="BJ84" s="1" t="s">
        <v>128</v>
      </c>
      <c r="BK84" s="1">
        <v>0</v>
      </c>
      <c r="BL84" s="1" t="s">
        <v>127</v>
      </c>
      <c r="BM84" s="1" t="s">
        <v>114</v>
      </c>
      <c r="BN84" s="1">
        <v>0</v>
      </c>
      <c r="BO84" s="1">
        <v>0</v>
      </c>
      <c r="BP84" s="1" t="s">
        <v>115</v>
      </c>
      <c r="BQ84" s="1" t="s">
        <v>191</v>
      </c>
      <c r="BR84" s="1" t="s">
        <v>1385</v>
      </c>
      <c r="BS84" s="1" t="s">
        <v>1386</v>
      </c>
      <c r="BT84" s="1" t="s">
        <v>172</v>
      </c>
      <c r="BU84" s="1" t="s">
        <v>132</v>
      </c>
      <c r="BV84" s="1" t="s">
        <v>1387</v>
      </c>
      <c r="BW84" s="1" t="s">
        <v>298</v>
      </c>
      <c r="BX84" s="1" t="s">
        <v>325</v>
      </c>
      <c r="BY84" s="1" t="s">
        <v>454</v>
      </c>
      <c r="BZ84" s="1" t="s">
        <v>1388</v>
      </c>
      <c r="CA84" s="1">
        <v>360</v>
      </c>
      <c r="CB84" s="1" t="s">
        <v>244</v>
      </c>
      <c r="CC84" s="1" t="s">
        <v>177</v>
      </c>
      <c r="CD84" s="1" t="s">
        <v>1389</v>
      </c>
      <c r="CE84" s="1" t="s">
        <v>219</v>
      </c>
      <c r="CF84" s="6">
        <v>131000</v>
      </c>
      <c r="CG84" s="6">
        <v>504000</v>
      </c>
      <c r="CH84" s="1">
        <v>0</v>
      </c>
      <c r="CI84" s="1">
        <v>0</v>
      </c>
      <c r="CJ84" s="1">
        <v>0</v>
      </c>
      <c r="CK84" s="1">
        <v>0</v>
      </c>
      <c r="CL84" s="1">
        <v>0</v>
      </c>
      <c r="CM84" s="1">
        <v>0</v>
      </c>
      <c r="CN84" s="1">
        <v>150</v>
      </c>
      <c r="CO84" s="1">
        <v>0</v>
      </c>
      <c r="CP84" s="1">
        <v>0</v>
      </c>
      <c r="CQ84" s="1">
        <v>0</v>
      </c>
      <c r="CR84" s="1" t="s">
        <v>180</v>
      </c>
      <c r="CS84" s="1" t="s">
        <v>140</v>
      </c>
      <c r="CT84" s="1" t="s">
        <v>1390</v>
      </c>
      <c r="CU84" s="1" t="s">
        <v>460</v>
      </c>
      <c r="CV84" s="1" t="s">
        <v>907</v>
      </c>
      <c r="CW84" s="1" t="s">
        <v>284</v>
      </c>
      <c r="CX84" s="1" t="s">
        <v>1391</v>
      </c>
      <c r="CY84" s="1" t="s">
        <v>191</v>
      </c>
      <c r="CZ84" s="1" t="s">
        <v>144</v>
      </c>
      <c r="DA84" s="1" t="s">
        <v>145</v>
      </c>
    </row>
    <row r="85" spans="1:105" s="3" customFormat="1" ht="11.25" customHeight="1" x14ac:dyDescent="0.2">
      <c r="A85" s="1">
        <v>41</v>
      </c>
      <c r="B85" s="1" t="s">
        <v>1393</v>
      </c>
      <c r="C85" s="1" t="s">
        <v>1392</v>
      </c>
      <c r="D85" s="1">
        <v>23859</v>
      </c>
      <c r="E85" s="2" t="s">
        <v>4201</v>
      </c>
      <c r="F85" s="1" t="s">
        <v>113</v>
      </c>
      <c r="H85" s="1" t="s">
        <v>682</v>
      </c>
      <c r="I85" s="1" t="s">
        <v>229</v>
      </c>
      <c r="J85" s="1" t="s">
        <v>229</v>
      </c>
      <c r="K85" s="1" t="s">
        <v>1392</v>
      </c>
      <c r="L85" s="1" t="s">
        <v>111</v>
      </c>
      <c r="M85" s="1" t="s">
        <v>1016</v>
      </c>
      <c r="N85" s="1" t="s">
        <v>1394</v>
      </c>
      <c r="O85" s="1" t="s">
        <v>113</v>
      </c>
      <c r="P85" s="1" t="s">
        <v>113</v>
      </c>
      <c r="Q85" s="1" t="s">
        <v>152</v>
      </c>
      <c r="R85" s="1" t="s">
        <v>1395</v>
      </c>
      <c r="S85" s="1" t="s">
        <v>1396</v>
      </c>
      <c r="T85" s="1" t="s">
        <v>106</v>
      </c>
      <c r="U85" s="1" t="s">
        <v>1397</v>
      </c>
      <c r="V85" s="1" t="s">
        <v>1398</v>
      </c>
      <c r="W85" s="1" t="s">
        <v>115</v>
      </c>
      <c r="X85" s="1" t="s">
        <v>113</v>
      </c>
      <c r="Y85" s="1" t="s">
        <v>114</v>
      </c>
      <c r="Z85" s="1">
        <v>100</v>
      </c>
      <c r="AA85" s="1" t="s">
        <v>132</v>
      </c>
      <c r="AB85" s="1" t="s">
        <v>128</v>
      </c>
      <c r="AC85" s="1" t="s">
        <v>118</v>
      </c>
      <c r="AD85" s="1">
        <v>80</v>
      </c>
      <c r="AE85" s="1" t="s">
        <v>116</v>
      </c>
      <c r="AF85" s="1">
        <v>100</v>
      </c>
      <c r="AG85" s="1" t="s">
        <v>113</v>
      </c>
      <c r="AH85" s="1">
        <v>50</v>
      </c>
      <c r="AI85" s="1">
        <v>30</v>
      </c>
      <c r="AJ85" s="1">
        <v>20</v>
      </c>
      <c r="AK85" s="1" t="s">
        <v>232</v>
      </c>
      <c r="AL85" s="1">
        <v>0</v>
      </c>
      <c r="AM85" s="1" t="s">
        <v>1399</v>
      </c>
      <c r="AN85" s="1">
        <v>0</v>
      </c>
      <c r="AO85" s="1" t="s">
        <v>113</v>
      </c>
      <c r="AP85" s="1" t="s">
        <v>113</v>
      </c>
      <c r="AQ85" s="1" t="s">
        <v>1400</v>
      </c>
      <c r="AR85" s="1" t="s">
        <v>114</v>
      </c>
      <c r="AS85" s="1" t="s">
        <v>373</v>
      </c>
      <c r="AT85" s="1" t="s">
        <v>123</v>
      </c>
      <c r="AU85" s="1" t="s">
        <v>106</v>
      </c>
      <c r="AV85" s="1" t="s">
        <v>113</v>
      </c>
      <c r="AW85" s="1" t="s">
        <v>164</v>
      </c>
      <c r="AX85" s="1" t="s">
        <v>165</v>
      </c>
      <c r="AY85" s="1">
        <v>300</v>
      </c>
      <c r="AZ85" s="1" t="s">
        <v>113</v>
      </c>
      <c r="BA85" s="1" t="s">
        <v>113</v>
      </c>
      <c r="BB85" s="1" t="s">
        <v>125</v>
      </c>
      <c r="BC85" s="1" t="s">
        <v>166</v>
      </c>
      <c r="BD85" s="1">
        <v>0</v>
      </c>
      <c r="BE85" s="1">
        <v>100</v>
      </c>
      <c r="BF85" s="1" t="s">
        <v>167</v>
      </c>
      <c r="BG85" s="1" t="s">
        <v>132</v>
      </c>
      <c r="BH85" s="1" t="s">
        <v>168</v>
      </c>
      <c r="BI85" s="1" t="s">
        <v>168</v>
      </c>
      <c r="BJ85" s="1" t="s">
        <v>208</v>
      </c>
      <c r="BK85" s="1">
        <v>80</v>
      </c>
      <c r="BL85" s="1" t="s">
        <v>270</v>
      </c>
      <c r="BM85" s="1" t="s">
        <v>210</v>
      </c>
      <c r="BN85" s="1" t="s">
        <v>143</v>
      </c>
      <c r="BO85" s="1">
        <v>0</v>
      </c>
      <c r="BP85" s="1" t="s">
        <v>124</v>
      </c>
      <c r="BQ85" s="1" t="s">
        <v>1392</v>
      </c>
      <c r="BR85" s="1" t="s">
        <v>1401</v>
      </c>
      <c r="BS85" s="1" t="s">
        <v>1402</v>
      </c>
      <c r="BT85" s="1" t="s">
        <v>172</v>
      </c>
      <c r="BU85" s="1" t="s">
        <v>132</v>
      </c>
      <c r="BV85" s="1" t="s">
        <v>1403</v>
      </c>
      <c r="BW85" s="1" t="s">
        <v>134</v>
      </c>
      <c r="BX85" s="1" t="s">
        <v>114</v>
      </c>
      <c r="BY85" s="1" t="s">
        <v>454</v>
      </c>
      <c r="BZ85" s="1" t="s">
        <v>1404</v>
      </c>
      <c r="CA85" s="4">
        <v>3750</v>
      </c>
      <c r="CB85" s="1" t="s">
        <v>176</v>
      </c>
      <c r="CC85" s="1" t="s">
        <v>496</v>
      </c>
      <c r="CD85" s="1" t="s">
        <v>1405</v>
      </c>
      <c r="CE85" s="1" t="s">
        <v>478</v>
      </c>
      <c r="CF85" s="6">
        <v>1629739.63</v>
      </c>
      <c r="CG85" s="6">
        <v>928082.1</v>
      </c>
      <c r="CH85" s="1">
        <v>350</v>
      </c>
      <c r="CI85" s="1">
        <v>80</v>
      </c>
      <c r="CJ85" s="1">
        <v>20</v>
      </c>
      <c r="CK85" s="1">
        <v>350</v>
      </c>
      <c r="CL85" s="1">
        <v>80</v>
      </c>
      <c r="CM85" s="1">
        <v>20</v>
      </c>
      <c r="CN85" s="1">
        <v>100</v>
      </c>
      <c r="CO85" s="1">
        <v>100</v>
      </c>
      <c r="CP85" s="1">
        <v>350</v>
      </c>
      <c r="CQ85" s="1">
        <v>0</v>
      </c>
      <c r="CR85" s="1" t="s">
        <v>180</v>
      </c>
      <c r="CS85" s="1" t="s">
        <v>140</v>
      </c>
      <c r="CT85" s="1" t="s">
        <v>1406</v>
      </c>
      <c r="CV85" s="1" t="s">
        <v>1407</v>
      </c>
      <c r="CW85" s="1" t="s">
        <v>420</v>
      </c>
      <c r="CX85" s="1" t="s">
        <v>114</v>
      </c>
      <c r="CY85" s="1" t="s">
        <v>143</v>
      </c>
      <c r="CZ85" s="1" t="s">
        <v>144</v>
      </c>
      <c r="DA85" s="1" t="s">
        <v>145</v>
      </c>
    </row>
    <row r="86" spans="1:105" s="3" customFormat="1" ht="11.25" customHeight="1" x14ac:dyDescent="0.2">
      <c r="A86" s="1">
        <v>41</v>
      </c>
      <c r="B86" s="1" t="s">
        <v>1408</v>
      </c>
      <c r="C86" s="1" t="s">
        <v>1409</v>
      </c>
      <c r="D86" s="1">
        <v>4622</v>
      </c>
      <c r="E86" s="2" t="s">
        <v>1688</v>
      </c>
      <c r="F86" s="1"/>
      <c r="H86" s="1"/>
      <c r="I86" s="1"/>
      <c r="J86" s="1"/>
      <c r="L86" s="1"/>
      <c r="M86" s="1"/>
      <c r="N86" s="1"/>
      <c r="O86" s="1"/>
      <c r="P86" s="1"/>
      <c r="Q86" s="1"/>
      <c r="R86" s="1"/>
      <c r="S86" s="1"/>
      <c r="T86" s="1"/>
      <c r="U86" s="1"/>
      <c r="V86" s="1"/>
      <c r="W86" s="1"/>
      <c r="X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I86" s="1"/>
      <c r="BJ86" s="1"/>
      <c r="BK86" s="1"/>
      <c r="BL86" s="1"/>
      <c r="BM86" s="1"/>
      <c r="BN86" s="1"/>
      <c r="BO86" s="1"/>
      <c r="BP86" s="1"/>
      <c r="BQ86" s="1"/>
      <c r="BR86" s="1"/>
      <c r="BS86" s="1"/>
      <c r="BT86" s="1"/>
      <c r="BU86" s="1"/>
      <c r="BV86" s="1"/>
      <c r="BW86" s="1"/>
      <c r="BX86" s="1"/>
      <c r="BY86" s="1"/>
      <c r="BZ86" s="1"/>
      <c r="CA86" s="1"/>
      <c r="CB86" s="1"/>
      <c r="CC86" s="1"/>
      <c r="CD86" s="5"/>
      <c r="CE86" s="1"/>
      <c r="CF86" s="6"/>
      <c r="CG86" s="1"/>
      <c r="CH86" s="1"/>
      <c r="CI86" s="1"/>
      <c r="CJ86" s="1"/>
      <c r="CK86" s="1"/>
      <c r="CL86" s="1"/>
      <c r="CM86" s="1"/>
      <c r="CN86" s="1"/>
      <c r="CO86" s="1"/>
      <c r="CP86" s="1"/>
      <c r="CQ86" s="1"/>
      <c r="CR86" s="1"/>
      <c r="CS86" s="1"/>
      <c r="CT86" s="1"/>
      <c r="CV86" s="1"/>
      <c r="CW86" s="1"/>
      <c r="CX86" s="1"/>
      <c r="CY86" s="1"/>
      <c r="CZ86" s="1"/>
      <c r="DA86" s="1"/>
    </row>
    <row r="87" spans="1:105" s="3" customFormat="1" ht="11.25" customHeight="1" x14ac:dyDescent="0.2">
      <c r="A87" s="1">
        <v>41</v>
      </c>
      <c r="B87" s="1" t="s">
        <v>1411</v>
      </c>
      <c r="C87" s="1" t="s">
        <v>1410</v>
      </c>
      <c r="D87" s="1">
        <v>15910</v>
      </c>
      <c r="E87" s="2" t="s">
        <v>4201</v>
      </c>
      <c r="F87" s="1" t="s">
        <v>113</v>
      </c>
      <c r="G87" s="1" t="s">
        <v>190</v>
      </c>
      <c r="H87" s="1" t="s">
        <v>288</v>
      </c>
      <c r="I87" s="1" t="s">
        <v>193</v>
      </c>
      <c r="J87" s="1" t="s">
        <v>229</v>
      </c>
      <c r="K87" s="1" t="s">
        <v>288</v>
      </c>
      <c r="L87" s="1" t="s">
        <v>111</v>
      </c>
      <c r="M87" s="1" t="s">
        <v>257</v>
      </c>
      <c r="N87" s="1" t="s">
        <v>112</v>
      </c>
      <c r="O87" s="1" t="s">
        <v>106</v>
      </c>
      <c r="P87" s="1" t="s">
        <v>113</v>
      </c>
      <c r="Q87" s="1" t="s">
        <v>1298</v>
      </c>
      <c r="R87" s="1" t="s">
        <v>114</v>
      </c>
      <c r="S87" s="1" t="s">
        <v>114</v>
      </c>
      <c r="T87" s="1" t="s">
        <v>106</v>
      </c>
      <c r="U87" s="1" t="s">
        <v>1412</v>
      </c>
      <c r="V87" s="1" t="s">
        <v>1413</v>
      </c>
      <c r="W87" s="1" t="s">
        <v>115</v>
      </c>
      <c r="X87" s="1" t="s">
        <v>113</v>
      </c>
      <c r="Y87" s="1" t="s">
        <v>114</v>
      </c>
      <c r="Z87" s="1">
        <v>100</v>
      </c>
      <c r="AA87" s="1" t="s">
        <v>132</v>
      </c>
      <c r="AB87" s="1" t="s">
        <v>128</v>
      </c>
      <c r="AC87" s="1" t="s">
        <v>118</v>
      </c>
      <c r="AD87" s="1">
        <v>30</v>
      </c>
      <c r="AE87" s="1" t="s">
        <v>132</v>
      </c>
      <c r="AF87" s="1">
        <v>1100</v>
      </c>
      <c r="AG87" s="1" t="s">
        <v>113</v>
      </c>
      <c r="AH87" s="1">
        <v>0</v>
      </c>
      <c r="AI87" s="1">
        <v>20</v>
      </c>
      <c r="AJ87" s="1">
        <v>0</v>
      </c>
      <c r="AK87" s="1" t="s">
        <v>232</v>
      </c>
      <c r="AL87" s="1">
        <v>0</v>
      </c>
      <c r="AM87" s="1" t="s">
        <v>1414</v>
      </c>
      <c r="AN87" s="1">
        <v>0</v>
      </c>
      <c r="AO87" s="1" t="s">
        <v>113</v>
      </c>
      <c r="AP87" s="1" t="s">
        <v>113</v>
      </c>
      <c r="AQ87" s="1" t="s">
        <v>114</v>
      </c>
      <c r="AR87" s="1" t="s">
        <v>114</v>
      </c>
      <c r="AS87" s="1" t="s">
        <v>114</v>
      </c>
      <c r="AT87" s="1" t="s">
        <v>123</v>
      </c>
      <c r="AU87" s="1" t="s">
        <v>113</v>
      </c>
      <c r="AV87" s="1" t="s">
        <v>113</v>
      </c>
      <c r="AW87" s="1" t="s">
        <v>164</v>
      </c>
      <c r="AX87" s="1" t="s">
        <v>165</v>
      </c>
      <c r="AY87" s="1">
        <v>0</v>
      </c>
      <c r="AZ87" s="1" t="s">
        <v>113</v>
      </c>
      <c r="BA87" s="1" t="s">
        <v>113</v>
      </c>
      <c r="BB87" s="1" t="s">
        <v>125</v>
      </c>
      <c r="BC87" s="1" t="s">
        <v>166</v>
      </c>
      <c r="BD87" s="1">
        <v>0</v>
      </c>
      <c r="BE87" s="1">
        <v>100</v>
      </c>
      <c r="BF87" s="1" t="s">
        <v>167</v>
      </c>
      <c r="BG87" s="1" t="s">
        <v>132</v>
      </c>
      <c r="BH87" s="1" t="s">
        <v>207</v>
      </c>
      <c r="BI87" s="1" t="s">
        <v>207</v>
      </c>
      <c r="BJ87" s="1" t="s">
        <v>208</v>
      </c>
      <c r="BK87" s="1">
        <v>30</v>
      </c>
      <c r="BL87" s="1" t="s">
        <v>167</v>
      </c>
      <c r="BM87" s="1" t="s">
        <v>472</v>
      </c>
      <c r="BN87" s="1" t="s">
        <v>143</v>
      </c>
      <c r="BO87" s="1" t="s">
        <v>143</v>
      </c>
      <c r="BP87" s="1" t="s">
        <v>115</v>
      </c>
      <c r="BQ87" s="1" t="s">
        <v>1415</v>
      </c>
      <c r="BR87" s="1" t="s">
        <v>1416</v>
      </c>
      <c r="BS87" s="1" t="s">
        <v>1417</v>
      </c>
      <c r="BT87" s="1" t="s">
        <v>172</v>
      </c>
      <c r="BU87" s="1" t="s">
        <v>132</v>
      </c>
      <c r="BV87" s="1" t="s">
        <v>1418</v>
      </c>
      <c r="BW87" s="1" t="s">
        <v>298</v>
      </c>
      <c r="BX87" s="1" t="s">
        <v>325</v>
      </c>
      <c r="BY87" s="1" t="s">
        <v>454</v>
      </c>
      <c r="BZ87" s="1" t="s">
        <v>1419</v>
      </c>
      <c r="CA87" s="1">
        <v>950</v>
      </c>
      <c r="CB87" s="1" t="s">
        <v>137</v>
      </c>
      <c r="CC87" s="1" t="s">
        <v>138</v>
      </c>
      <c r="CD87" s="1" t="s">
        <v>114</v>
      </c>
      <c r="CE87" s="1" t="s">
        <v>179</v>
      </c>
      <c r="CF87" s="1">
        <v>0</v>
      </c>
      <c r="CG87" s="6">
        <v>1327851.53</v>
      </c>
      <c r="CH87" s="6">
        <v>1005064.49</v>
      </c>
      <c r="CI87" s="1">
        <v>0</v>
      </c>
      <c r="CJ87" s="6">
        <v>322787.03999999998</v>
      </c>
      <c r="CK87" s="6">
        <v>1005064.49</v>
      </c>
      <c r="CL87" s="1">
        <v>100506449</v>
      </c>
      <c r="CM87" s="1">
        <v>0</v>
      </c>
      <c r="CN87" s="1">
        <v>0</v>
      </c>
      <c r="CO87" s="1">
        <v>0</v>
      </c>
      <c r="CP87" s="1">
        <v>0</v>
      </c>
      <c r="CQ87" s="1">
        <v>0</v>
      </c>
      <c r="CR87" s="1" t="s">
        <v>139</v>
      </c>
      <c r="CS87" s="1" t="s">
        <v>140</v>
      </c>
      <c r="CT87" s="1" t="s">
        <v>1309</v>
      </c>
      <c r="CV87" s="1" t="s">
        <v>1420</v>
      </c>
      <c r="CW87" s="1" t="s">
        <v>141</v>
      </c>
      <c r="CX87" s="1" t="s">
        <v>1421</v>
      </c>
      <c r="CY87" s="1" t="s">
        <v>652</v>
      </c>
      <c r="CZ87" s="1" t="s">
        <v>144</v>
      </c>
      <c r="DA87" s="1" t="s">
        <v>145</v>
      </c>
    </row>
    <row r="88" spans="1:105" s="3" customFormat="1" ht="11.25" customHeight="1" x14ac:dyDescent="0.2">
      <c r="A88" s="1">
        <v>41</v>
      </c>
      <c r="B88" s="1" t="s">
        <v>1422</v>
      </c>
      <c r="C88" s="1" t="s">
        <v>1423</v>
      </c>
      <c r="D88" s="1">
        <v>4657</v>
      </c>
      <c r="E88" s="2" t="s">
        <v>1688</v>
      </c>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row>
    <row r="89" spans="1:105" s="3" customFormat="1" ht="11.25" customHeight="1" x14ac:dyDescent="0.2">
      <c r="A89" s="1">
        <v>41</v>
      </c>
      <c r="B89" s="1" t="s">
        <v>1425</v>
      </c>
      <c r="C89" s="1" t="s">
        <v>1424</v>
      </c>
      <c r="D89" s="1">
        <v>4171</v>
      </c>
      <c r="E89" s="2" t="s">
        <v>4201</v>
      </c>
      <c r="F89" s="1" t="s">
        <v>113</v>
      </c>
      <c r="G89" s="1" t="s">
        <v>190</v>
      </c>
      <c r="H89" s="1" t="s">
        <v>1426</v>
      </c>
      <c r="I89" s="1" t="s">
        <v>229</v>
      </c>
      <c r="J89" s="1" t="s">
        <v>229</v>
      </c>
      <c r="K89" s="1" t="s">
        <v>1426</v>
      </c>
      <c r="L89" s="1" t="s">
        <v>111</v>
      </c>
      <c r="M89" s="1" t="s">
        <v>191</v>
      </c>
      <c r="N89" s="1" t="s">
        <v>1427</v>
      </c>
      <c r="O89" s="1" t="s">
        <v>113</v>
      </c>
      <c r="P89" s="1" t="s">
        <v>113</v>
      </c>
      <c r="Q89" s="1" t="s">
        <v>111</v>
      </c>
      <c r="R89" s="1" t="s">
        <v>157</v>
      </c>
      <c r="S89" s="1" t="s">
        <v>157</v>
      </c>
      <c r="T89" s="1" t="s">
        <v>113</v>
      </c>
      <c r="U89" s="1" t="s">
        <v>114</v>
      </c>
      <c r="V89" s="1" t="s">
        <v>1428</v>
      </c>
      <c r="W89" s="1" t="s">
        <v>115</v>
      </c>
      <c r="X89" s="1" t="s">
        <v>113</v>
      </c>
      <c r="Y89" s="1" t="s">
        <v>114</v>
      </c>
      <c r="Z89" s="1">
        <v>100</v>
      </c>
      <c r="AA89" s="1" t="s">
        <v>132</v>
      </c>
      <c r="AB89" s="1" t="s">
        <v>128</v>
      </c>
      <c r="AC89" s="1" t="s">
        <v>118</v>
      </c>
      <c r="AD89" s="1">
        <v>10</v>
      </c>
      <c r="AE89" s="1" t="s">
        <v>132</v>
      </c>
      <c r="AF89" s="1" t="s">
        <v>1429</v>
      </c>
      <c r="AG89" s="1" t="s">
        <v>113</v>
      </c>
      <c r="AH89" s="1">
        <v>0</v>
      </c>
      <c r="AI89" s="1">
        <v>0</v>
      </c>
      <c r="AJ89" s="1">
        <v>0</v>
      </c>
      <c r="AK89" s="1" t="s">
        <v>232</v>
      </c>
      <c r="AL89" s="1">
        <v>0</v>
      </c>
      <c r="AM89" s="1" t="s">
        <v>114</v>
      </c>
      <c r="AN89" s="1">
        <v>0</v>
      </c>
      <c r="AO89" s="1" t="s">
        <v>113</v>
      </c>
      <c r="AP89" s="1" t="s">
        <v>113</v>
      </c>
      <c r="AQ89" s="1" t="s">
        <v>114</v>
      </c>
      <c r="AR89" s="1" t="s">
        <v>114</v>
      </c>
      <c r="AS89" s="1" t="s">
        <v>114</v>
      </c>
      <c r="AT89" s="1" t="s">
        <v>204</v>
      </c>
      <c r="AU89" s="1" t="s">
        <v>106</v>
      </c>
      <c r="AV89" s="1" t="s">
        <v>113</v>
      </c>
      <c r="AW89" s="1" t="s">
        <v>164</v>
      </c>
      <c r="AX89" s="1" t="s">
        <v>165</v>
      </c>
      <c r="AY89" s="4">
        <v>30000</v>
      </c>
      <c r="AZ89" s="1" t="s">
        <v>113</v>
      </c>
      <c r="BA89" s="1" t="s">
        <v>113</v>
      </c>
      <c r="BB89" s="1" t="s">
        <v>125</v>
      </c>
      <c r="BC89" s="1" t="s">
        <v>166</v>
      </c>
      <c r="BD89" s="1">
        <v>0</v>
      </c>
      <c r="BE89" s="1">
        <v>100</v>
      </c>
      <c r="BF89" s="1" t="s">
        <v>630</v>
      </c>
      <c r="BG89" s="1" t="s">
        <v>132</v>
      </c>
      <c r="BH89" s="1" t="s">
        <v>168</v>
      </c>
      <c r="BI89" s="1" t="s">
        <v>168</v>
      </c>
      <c r="BJ89" s="1" t="s">
        <v>208</v>
      </c>
      <c r="BK89" s="1">
        <v>80</v>
      </c>
      <c r="BL89" s="1" t="s">
        <v>270</v>
      </c>
      <c r="BM89" s="1" t="s">
        <v>472</v>
      </c>
      <c r="BN89" s="1" t="s">
        <v>114</v>
      </c>
      <c r="BO89" s="1" t="s">
        <v>114</v>
      </c>
      <c r="BP89" s="1" t="s">
        <v>115</v>
      </c>
      <c r="BQ89" s="1" t="s">
        <v>1430</v>
      </c>
      <c r="BR89" s="1" t="s">
        <v>1431</v>
      </c>
      <c r="BS89" s="1" t="s">
        <v>1432</v>
      </c>
      <c r="BT89" s="1" t="s">
        <v>172</v>
      </c>
      <c r="BU89" s="1" t="s">
        <v>132</v>
      </c>
      <c r="BV89" s="1" t="s">
        <v>1433</v>
      </c>
      <c r="BW89" s="1" t="s">
        <v>134</v>
      </c>
      <c r="BX89" s="1" t="s">
        <v>595</v>
      </c>
      <c r="BY89" s="1" t="s">
        <v>454</v>
      </c>
      <c r="BZ89" s="1" t="s">
        <v>157</v>
      </c>
      <c r="CA89" s="1" t="s">
        <v>1429</v>
      </c>
      <c r="CB89" s="1" t="s">
        <v>176</v>
      </c>
      <c r="CC89" s="1" t="s">
        <v>301</v>
      </c>
      <c r="CD89" s="1" t="s">
        <v>1434</v>
      </c>
      <c r="CE89" s="1" t="s">
        <v>179</v>
      </c>
      <c r="CF89" s="6">
        <v>256121.28</v>
      </c>
      <c r="CG89" s="6">
        <v>572767.07999999996</v>
      </c>
      <c r="CH89" s="1">
        <v>741.05</v>
      </c>
      <c r="CI89" s="1">
        <v>701</v>
      </c>
      <c r="CJ89" s="1">
        <v>701</v>
      </c>
      <c r="CK89" s="1">
        <v>700</v>
      </c>
      <c r="CL89" s="1">
        <v>0</v>
      </c>
      <c r="CM89" s="1">
        <v>0</v>
      </c>
      <c r="CN89" s="1">
        <v>0</v>
      </c>
      <c r="CO89" s="1">
        <v>0</v>
      </c>
      <c r="CP89" s="1">
        <v>701</v>
      </c>
      <c r="CQ89" s="1">
        <v>0</v>
      </c>
      <c r="CR89" s="1" t="s">
        <v>139</v>
      </c>
      <c r="CS89" s="1" t="s">
        <v>1435</v>
      </c>
      <c r="CT89" s="1" t="s">
        <v>1436</v>
      </c>
      <c r="CV89" s="1" t="s">
        <v>1437</v>
      </c>
      <c r="CW89" s="1" t="s">
        <v>251</v>
      </c>
      <c r="CX89" s="1" t="s">
        <v>157</v>
      </c>
      <c r="CY89" s="1" t="s">
        <v>157</v>
      </c>
      <c r="CZ89" s="1" t="s">
        <v>144</v>
      </c>
      <c r="DA89" s="1" t="s">
        <v>145</v>
      </c>
    </row>
    <row r="90" spans="1:105" s="3" customFormat="1" ht="11.25" customHeight="1" x14ac:dyDescent="0.2">
      <c r="A90" s="1">
        <v>41</v>
      </c>
      <c r="B90" s="1" t="s">
        <v>1439</v>
      </c>
      <c r="C90" s="1" t="s">
        <v>1438</v>
      </c>
      <c r="D90" s="1">
        <v>24622</v>
      </c>
      <c r="E90" s="2" t="s">
        <v>4201</v>
      </c>
      <c r="F90" s="1" t="s">
        <v>113</v>
      </c>
      <c r="G90" s="1" t="s">
        <v>190</v>
      </c>
      <c r="H90" s="1" t="s">
        <v>1440</v>
      </c>
      <c r="I90" s="1" t="s">
        <v>229</v>
      </c>
      <c r="J90" s="1" t="s">
        <v>229</v>
      </c>
      <c r="K90" s="1" t="s">
        <v>1441</v>
      </c>
      <c r="L90" s="1" t="s">
        <v>111</v>
      </c>
      <c r="M90" s="1" t="s">
        <v>1442</v>
      </c>
      <c r="N90" s="1" t="s">
        <v>112</v>
      </c>
      <c r="O90" s="1" t="s">
        <v>106</v>
      </c>
      <c r="P90" s="1" t="s">
        <v>113</v>
      </c>
      <c r="Q90" s="1" t="s">
        <v>152</v>
      </c>
      <c r="R90" s="1" t="s">
        <v>564</v>
      </c>
      <c r="S90" s="1" t="s">
        <v>1443</v>
      </c>
      <c r="T90" s="1" t="s">
        <v>106</v>
      </c>
      <c r="U90" s="1" t="s">
        <v>564</v>
      </c>
      <c r="V90" s="1" t="s">
        <v>1444</v>
      </c>
      <c r="W90" s="1" t="s">
        <v>755</v>
      </c>
      <c r="X90" s="1" t="s">
        <v>113</v>
      </c>
      <c r="Y90" s="1" t="s">
        <v>564</v>
      </c>
      <c r="Z90" s="1">
        <v>100</v>
      </c>
      <c r="AA90" s="1" t="s">
        <v>132</v>
      </c>
      <c r="AB90" s="1" t="s">
        <v>128</v>
      </c>
      <c r="AC90" s="1" t="s">
        <v>118</v>
      </c>
      <c r="AD90" s="1">
        <v>20</v>
      </c>
      <c r="AE90" s="1" t="s">
        <v>132</v>
      </c>
      <c r="AF90" s="1">
        <v>957</v>
      </c>
      <c r="AG90" s="1" t="s">
        <v>113</v>
      </c>
      <c r="AH90" s="1">
        <v>0</v>
      </c>
      <c r="AI90" s="1">
        <v>0</v>
      </c>
      <c r="AJ90" s="1">
        <v>0</v>
      </c>
      <c r="AK90" s="1" t="s">
        <v>232</v>
      </c>
      <c r="AL90" s="1">
        <v>19</v>
      </c>
      <c r="AM90" s="1" t="s">
        <v>363</v>
      </c>
      <c r="AN90" s="1">
        <v>0</v>
      </c>
      <c r="AO90" s="1" t="s">
        <v>113</v>
      </c>
      <c r="AP90" s="1" t="s">
        <v>113</v>
      </c>
      <c r="AQ90" s="1" t="s">
        <v>290</v>
      </c>
      <c r="AR90" s="1" t="s">
        <v>290</v>
      </c>
      <c r="AS90" s="1" t="s">
        <v>114</v>
      </c>
      <c r="AT90" s="1" t="s">
        <v>123</v>
      </c>
      <c r="AU90" s="1" t="s">
        <v>113</v>
      </c>
      <c r="AV90" s="1" t="s">
        <v>113</v>
      </c>
      <c r="AW90" s="1" t="s">
        <v>164</v>
      </c>
      <c r="AX90" s="1" t="s">
        <v>165</v>
      </c>
      <c r="AY90" s="1">
        <v>953</v>
      </c>
      <c r="AZ90" s="1" t="s">
        <v>113</v>
      </c>
      <c r="BA90" s="1" t="s">
        <v>113</v>
      </c>
      <c r="BB90" s="1" t="s">
        <v>125</v>
      </c>
      <c r="BC90" s="1" t="s">
        <v>166</v>
      </c>
      <c r="BD90" s="1">
        <v>0</v>
      </c>
      <c r="BE90" s="1">
        <v>100</v>
      </c>
      <c r="BF90" s="1" t="s">
        <v>167</v>
      </c>
      <c r="BG90" s="1" t="s">
        <v>268</v>
      </c>
      <c r="BH90" s="1" t="s">
        <v>169</v>
      </c>
      <c r="BI90" s="1" t="s">
        <v>169</v>
      </c>
      <c r="BJ90" s="1" t="s">
        <v>208</v>
      </c>
      <c r="BK90" s="1">
        <v>20</v>
      </c>
      <c r="BL90" s="1" t="s">
        <v>270</v>
      </c>
      <c r="BM90" s="1" t="s">
        <v>271</v>
      </c>
      <c r="BN90" s="1">
        <v>10</v>
      </c>
      <c r="BO90" s="1">
        <v>1</v>
      </c>
      <c r="BP90" s="1" t="s">
        <v>124</v>
      </c>
      <c r="BQ90" s="1" t="s">
        <v>1445</v>
      </c>
      <c r="BR90" s="1" t="s">
        <v>1446</v>
      </c>
      <c r="BS90" s="1" t="s">
        <v>1447</v>
      </c>
      <c r="BT90" s="1" t="s">
        <v>172</v>
      </c>
      <c r="BU90" s="1" t="s">
        <v>239</v>
      </c>
      <c r="BV90" s="1" t="s">
        <v>656</v>
      </c>
      <c r="BW90" s="1" t="s">
        <v>134</v>
      </c>
      <c r="BX90" s="1" t="s">
        <v>1448</v>
      </c>
      <c r="BY90" s="1" t="s">
        <v>135</v>
      </c>
      <c r="BZ90" s="1" t="s">
        <v>1449</v>
      </c>
      <c r="CA90" s="1">
        <v>957</v>
      </c>
      <c r="CB90" s="1" t="s">
        <v>176</v>
      </c>
      <c r="CC90" s="1" t="s">
        <v>217</v>
      </c>
      <c r="CE90" s="1" t="s">
        <v>219</v>
      </c>
      <c r="CF90" s="1">
        <v>678611.35</v>
      </c>
      <c r="CG90" s="1">
        <v>1882957.11</v>
      </c>
      <c r="CH90" s="1">
        <v>505660</v>
      </c>
      <c r="CI90" s="1">
        <v>0</v>
      </c>
      <c r="CJ90" s="1">
        <v>38102</v>
      </c>
      <c r="CK90" s="1">
        <v>305</v>
      </c>
      <c r="CL90" s="1">
        <v>305</v>
      </c>
      <c r="CM90" s="1">
        <v>57</v>
      </c>
      <c r="CN90" s="1">
        <v>36</v>
      </c>
      <c r="CO90" s="1">
        <v>0</v>
      </c>
      <c r="CP90" s="1">
        <v>0</v>
      </c>
      <c r="CQ90" s="1">
        <v>0</v>
      </c>
      <c r="CR90" s="1" t="s">
        <v>139</v>
      </c>
      <c r="CS90" s="1" t="s">
        <v>140</v>
      </c>
      <c r="CT90" s="1" t="s">
        <v>1450</v>
      </c>
      <c r="CV90" s="1" t="s">
        <v>1451</v>
      </c>
      <c r="CW90" s="1" t="s">
        <v>141</v>
      </c>
      <c r="CX90" s="1" t="s">
        <v>1452</v>
      </c>
      <c r="CY90" s="1" t="s">
        <v>143</v>
      </c>
      <c r="CZ90" s="1" t="s">
        <v>144</v>
      </c>
      <c r="DA90" s="1" t="s">
        <v>145</v>
      </c>
    </row>
    <row r="91" spans="1:105" s="3" customFormat="1" ht="11.25" customHeight="1" x14ac:dyDescent="0.2">
      <c r="A91" s="1">
        <v>41</v>
      </c>
      <c r="B91" s="1" t="s">
        <v>1454</v>
      </c>
      <c r="C91" s="1" t="s">
        <v>1453</v>
      </c>
      <c r="D91" s="1">
        <v>4547</v>
      </c>
      <c r="E91" s="2" t="s">
        <v>4201</v>
      </c>
      <c r="F91" s="1" t="s">
        <v>106</v>
      </c>
      <c r="G91" s="1" t="s">
        <v>254</v>
      </c>
      <c r="H91" s="1" t="s">
        <v>255</v>
      </c>
      <c r="I91" s="1" t="s">
        <v>109</v>
      </c>
      <c r="J91" s="1" t="s">
        <v>106</v>
      </c>
      <c r="L91" s="1" t="s">
        <v>111</v>
      </c>
      <c r="M91" s="1" t="s">
        <v>465</v>
      </c>
      <c r="N91" s="1" t="s">
        <v>112</v>
      </c>
      <c r="O91" s="1" t="s">
        <v>113</v>
      </c>
      <c r="P91" s="1" t="s">
        <v>113</v>
      </c>
      <c r="Q91" s="1" t="s">
        <v>111</v>
      </c>
      <c r="R91" s="1" t="s">
        <v>114</v>
      </c>
      <c r="S91" s="1" t="s">
        <v>114</v>
      </c>
      <c r="T91" s="1" t="s">
        <v>106</v>
      </c>
      <c r="U91" s="1" t="s">
        <v>1455</v>
      </c>
      <c r="W91" s="1" t="s">
        <v>115</v>
      </c>
      <c r="Z91" s="1">
        <v>100</v>
      </c>
      <c r="AA91" s="1" t="s">
        <v>132</v>
      </c>
      <c r="AB91" s="1" t="s">
        <v>128</v>
      </c>
      <c r="AC91" s="1" t="s">
        <v>128</v>
      </c>
      <c r="AD91" s="1">
        <v>0</v>
      </c>
      <c r="AE91" s="1" t="s">
        <v>114</v>
      </c>
      <c r="AF91" s="1">
        <v>537</v>
      </c>
      <c r="AG91" s="1" t="s">
        <v>113</v>
      </c>
      <c r="AH91" s="1">
        <v>0</v>
      </c>
      <c r="AK91" s="1" t="s">
        <v>232</v>
      </c>
      <c r="AM91" s="1" t="s">
        <v>363</v>
      </c>
      <c r="AP91" s="1" t="s">
        <v>106</v>
      </c>
      <c r="AQ91" s="1" t="s">
        <v>114</v>
      </c>
      <c r="AR91" s="1" t="s">
        <v>1456</v>
      </c>
      <c r="AS91" s="1" t="s">
        <v>1457</v>
      </c>
      <c r="AU91" s="1" t="s">
        <v>113</v>
      </c>
      <c r="AV91" s="1" t="s">
        <v>113</v>
      </c>
      <c r="AW91" s="1" t="s">
        <v>164</v>
      </c>
      <c r="AY91" s="1">
        <v>0</v>
      </c>
      <c r="AZ91" s="1" t="s">
        <v>113</v>
      </c>
      <c r="BA91" s="1" t="s">
        <v>113</v>
      </c>
      <c r="BB91" s="1" t="s">
        <v>125</v>
      </c>
      <c r="BD91" s="1">
        <v>0</v>
      </c>
      <c r="BE91" s="1">
        <v>100</v>
      </c>
      <c r="BF91" s="1" t="s">
        <v>167</v>
      </c>
      <c r="BG91" s="1" t="s">
        <v>116</v>
      </c>
      <c r="BJ91" s="1" t="s">
        <v>128</v>
      </c>
      <c r="BK91" s="1">
        <v>0</v>
      </c>
      <c r="BL91" s="1" t="s">
        <v>127</v>
      </c>
      <c r="BN91" s="1">
        <v>5</v>
      </c>
      <c r="BP91" s="1" t="s">
        <v>115</v>
      </c>
      <c r="BQ91" s="1" t="s">
        <v>359</v>
      </c>
      <c r="BR91" s="1" t="s">
        <v>1458</v>
      </c>
      <c r="BS91" s="1" t="s">
        <v>365</v>
      </c>
      <c r="BT91" s="1" t="s">
        <v>172</v>
      </c>
      <c r="BU91" s="1" t="s">
        <v>132</v>
      </c>
      <c r="BV91" s="1" t="s">
        <v>174</v>
      </c>
      <c r="BW91" s="1" t="s">
        <v>134</v>
      </c>
      <c r="BX91" s="1" t="s">
        <v>135</v>
      </c>
      <c r="BY91" s="1" t="s">
        <v>135</v>
      </c>
      <c r="BZ91" s="1" t="s">
        <v>1459</v>
      </c>
      <c r="CA91" s="1">
        <v>537</v>
      </c>
      <c r="CB91" s="1" t="s">
        <v>244</v>
      </c>
      <c r="CC91" s="1" t="s">
        <v>217</v>
      </c>
      <c r="CE91" s="1" t="s">
        <v>219</v>
      </c>
      <c r="CF91" s="1">
        <v>94743.25</v>
      </c>
      <c r="CG91" s="1">
        <v>272447.21999999997</v>
      </c>
      <c r="CH91" s="1">
        <v>0</v>
      </c>
      <c r="CI91" s="1">
        <v>0</v>
      </c>
      <c r="CJ91" s="1">
        <v>0</v>
      </c>
      <c r="CK91" s="1">
        <v>0</v>
      </c>
      <c r="CL91" s="1">
        <v>0</v>
      </c>
      <c r="CM91" s="1">
        <v>0</v>
      </c>
      <c r="CN91" s="1">
        <v>0</v>
      </c>
      <c r="CO91" s="1">
        <v>0</v>
      </c>
      <c r="CP91" s="1">
        <v>0</v>
      </c>
      <c r="CQ91" s="1">
        <v>0</v>
      </c>
      <c r="CS91" s="1" t="s">
        <v>140</v>
      </c>
      <c r="CT91" s="1" t="s">
        <v>114</v>
      </c>
      <c r="CW91" s="1" t="s">
        <v>141</v>
      </c>
      <c r="CX91" s="1" t="s">
        <v>1460</v>
      </c>
      <c r="CY91" s="1" t="s">
        <v>143</v>
      </c>
      <c r="CZ91" s="1" t="s">
        <v>144</v>
      </c>
      <c r="DA91" s="1" t="s">
        <v>145</v>
      </c>
    </row>
    <row r="92" spans="1:105" s="3" customFormat="1" ht="11.25" customHeight="1" x14ac:dyDescent="0.2">
      <c r="A92" s="1">
        <v>41</v>
      </c>
      <c r="B92" s="1" t="s">
        <v>1462</v>
      </c>
      <c r="C92" s="1" t="s">
        <v>1461</v>
      </c>
      <c r="D92" s="1">
        <v>2896</v>
      </c>
      <c r="E92" s="2" t="s">
        <v>4201</v>
      </c>
      <c r="F92" s="1" t="s">
        <v>113</v>
      </c>
      <c r="H92" s="1" t="s">
        <v>1157</v>
      </c>
      <c r="I92" s="1" t="s">
        <v>229</v>
      </c>
      <c r="J92" s="1" t="s">
        <v>113</v>
      </c>
      <c r="K92" s="1" t="s">
        <v>192</v>
      </c>
      <c r="L92" s="1" t="s">
        <v>149</v>
      </c>
      <c r="M92" s="1" t="s">
        <v>1463</v>
      </c>
      <c r="N92" s="1" t="s">
        <v>1464</v>
      </c>
      <c r="O92" s="1" t="s">
        <v>113</v>
      </c>
      <c r="P92" s="1" t="s">
        <v>113</v>
      </c>
      <c r="Q92" s="1" t="s">
        <v>111</v>
      </c>
      <c r="R92" s="1" t="s">
        <v>157</v>
      </c>
      <c r="S92" s="1" t="s">
        <v>157</v>
      </c>
      <c r="T92" s="1" t="s">
        <v>113</v>
      </c>
      <c r="U92" s="1" t="s">
        <v>157</v>
      </c>
      <c r="V92" s="1" t="s">
        <v>1465</v>
      </c>
      <c r="W92" s="1" t="s">
        <v>199</v>
      </c>
      <c r="X92" s="1" t="s">
        <v>113</v>
      </c>
      <c r="Y92" s="1" t="s">
        <v>708</v>
      </c>
      <c r="Z92" s="1">
        <v>100</v>
      </c>
      <c r="AA92" s="1" t="s">
        <v>116</v>
      </c>
      <c r="AB92" s="1" t="s">
        <v>128</v>
      </c>
      <c r="AC92" s="1" t="s">
        <v>118</v>
      </c>
      <c r="AD92" s="1">
        <v>60</v>
      </c>
      <c r="AE92" s="1" t="s">
        <v>116</v>
      </c>
      <c r="AF92" s="4">
        <v>276000</v>
      </c>
      <c r="AG92" s="1" t="s">
        <v>113</v>
      </c>
      <c r="AH92" s="1">
        <v>0</v>
      </c>
      <c r="AI92" s="1">
        <v>0</v>
      </c>
      <c r="AJ92" s="1">
        <v>0</v>
      </c>
      <c r="AK92" s="1" t="s">
        <v>408</v>
      </c>
      <c r="AM92" s="1" t="s">
        <v>172</v>
      </c>
      <c r="AO92" s="1" t="s">
        <v>113</v>
      </c>
      <c r="AP92" s="1" t="s">
        <v>106</v>
      </c>
      <c r="AQ92" s="1" t="s">
        <v>1466</v>
      </c>
      <c r="AR92" s="1" t="s">
        <v>1467</v>
      </c>
      <c r="AS92" s="1" t="s">
        <v>1468</v>
      </c>
      <c r="AT92" s="1" t="s">
        <v>1134</v>
      </c>
      <c r="AU92" s="1" t="s">
        <v>106</v>
      </c>
      <c r="AV92" s="1" t="s">
        <v>113</v>
      </c>
      <c r="AW92" s="1" t="s">
        <v>205</v>
      </c>
      <c r="AX92" s="1" t="s">
        <v>206</v>
      </c>
      <c r="AY92" s="1">
        <v>0</v>
      </c>
      <c r="AZ92" s="1" t="s">
        <v>113</v>
      </c>
      <c r="BA92" s="1" t="s">
        <v>113</v>
      </c>
      <c r="BB92" s="1" t="s">
        <v>125</v>
      </c>
      <c r="BC92" s="1" t="s">
        <v>166</v>
      </c>
      <c r="BD92" s="1">
        <v>0</v>
      </c>
      <c r="BE92" s="1">
        <v>100</v>
      </c>
      <c r="BF92" s="1" t="s">
        <v>167</v>
      </c>
      <c r="BG92" s="1" t="s">
        <v>116</v>
      </c>
      <c r="BH92" s="1" t="s">
        <v>168</v>
      </c>
      <c r="BI92" s="1" t="s">
        <v>168</v>
      </c>
      <c r="BJ92" s="1" t="s">
        <v>384</v>
      </c>
      <c r="BK92" s="1">
        <v>100</v>
      </c>
      <c r="BL92" s="1" t="s">
        <v>270</v>
      </c>
      <c r="BM92" s="1" t="s">
        <v>210</v>
      </c>
      <c r="BN92" s="1">
        <v>0</v>
      </c>
      <c r="BO92" s="1">
        <v>0</v>
      </c>
      <c r="BP92" s="1" t="s">
        <v>115</v>
      </c>
      <c r="BQ92" s="1" t="s">
        <v>709</v>
      </c>
      <c r="BR92" s="1" t="s">
        <v>1469</v>
      </c>
      <c r="BS92" s="1" t="s">
        <v>1470</v>
      </c>
      <c r="BT92" s="1" t="s">
        <v>172</v>
      </c>
      <c r="BU92" s="1" t="s">
        <v>132</v>
      </c>
      <c r="BV92" s="1" t="s">
        <v>174</v>
      </c>
      <c r="BW92" s="1" t="s">
        <v>134</v>
      </c>
      <c r="BX92" s="1" t="s">
        <v>325</v>
      </c>
      <c r="BY92" s="1" t="s">
        <v>299</v>
      </c>
      <c r="BZ92" s="1" t="s">
        <v>709</v>
      </c>
      <c r="CA92" s="1">
        <v>0</v>
      </c>
      <c r="CB92" s="1" t="s">
        <v>137</v>
      </c>
      <c r="CC92" s="1" t="s">
        <v>138</v>
      </c>
      <c r="CD92" s="1" t="s">
        <v>709</v>
      </c>
      <c r="CF92" s="1">
        <v>70</v>
      </c>
      <c r="CG92" s="1" t="s">
        <v>1471</v>
      </c>
      <c r="CH92" s="1">
        <v>0</v>
      </c>
      <c r="CI92" s="1" t="s">
        <v>1472</v>
      </c>
      <c r="CJ92" s="1">
        <v>450</v>
      </c>
      <c r="CK92" s="1">
        <v>0</v>
      </c>
      <c r="CL92" s="1">
        <v>0</v>
      </c>
      <c r="CM92" s="1">
        <v>0</v>
      </c>
      <c r="CN92" s="1">
        <v>0</v>
      </c>
      <c r="CO92" s="1">
        <v>0</v>
      </c>
      <c r="CP92" s="1">
        <v>0</v>
      </c>
      <c r="CQ92" s="1">
        <v>0</v>
      </c>
      <c r="CR92" s="1" t="s">
        <v>139</v>
      </c>
      <c r="CS92" s="1" t="s">
        <v>308</v>
      </c>
      <c r="CT92" s="1" t="s">
        <v>459</v>
      </c>
      <c r="CU92" s="1" t="s">
        <v>1473</v>
      </c>
      <c r="CV92" s="1" t="s">
        <v>1474</v>
      </c>
      <c r="CW92" s="1" t="s">
        <v>251</v>
      </c>
      <c r="CX92" s="1" t="s">
        <v>1475</v>
      </c>
      <c r="CY92" s="1" t="s">
        <v>1475</v>
      </c>
      <c r="CZ92" s="1" t="s">
        <v>144</v>
      </c>
    </row>
    <row r="93" spans="1:105" s="3" customFormat="1" ht="11.25" customHeight="1" x14ac:dyDescent="0.2">
      <c r="A93" s="1">
        <v>41</v>
      </c>
      <c r="B93" s="1" t="s">
        <v>1476</v>
      </c>
      <c r="C93" s="1" t="s">
        <v>108</v>
      </c>
      <c r="D93" s="1">
        <v>1829225</v>
      </c>
      <c r="E93" s="2" t="s">
        <v>4201</v>
      </c>
      <c r="F93" s="1" t="s">
        <v>106</v>
      </c>
      <c r="G93" s="1" t="s">
        <v>107</v>
      </c>
      <c r="H93" s="1" t="s">
        <v>108</v>
      </c>
      <c r="I93" s="1" t="s">
        <v>109</v>
      </c>
      <c r="J93" s="1" t="s">
        <v>106</v>
      </c>
      <c r="K93" s="1" t="s">
        <v>110</v>
      </c>
      <c r="L93" s="1" t="s">
        <v>401</v>
      </c>
      <c r="M93" s="1" t="s">
        <v>1477</v>
      </c>
      <c r="N93" s="1" t="s">
        <v>1478</v>
      </c>
      <c r="O93" s="1" t="s">
        <v>113</v>
      </c>
      <c r="P93" s="1" t="s">
        <v>113</v>
      </c>
      <c r="Q93" s="1" t="s">
        <v>195</v>
      </c>
      <c r="R93" s="1" t="s">
        <v>1479</v>
      </c>
      <c r="S93" s="1" t="s">
        <v>157</v>
      </c>
      <c r="T93" s="1" t="s">
        <v>106</v>
      </c>
      <c r="U93" s="1" t="s">
        <v>1480</v>
      </c>
      <c r="V93" s="1" t="s">
        <v>1481</v>
      </c>
      <c r="W93" s="1" t="s">
        <v>115</v>
      </c>
      <c r="X93" s="1" t="s">
        <v>106</v>
      </c>
      <c r="Y93" s="1" t="s">
        <v>1482</v>
      </c>
      <c r="Z93" s="1">
        <v>100</v>
      </c>
      <c r="AA93" s="1" t="s">
        <v>132</v>
      </c>
      <c r="AB93" s="1" t="s">
        <v>128</v>
      </c>
      <c r="AC93" s="1" t="s">
        <v>128</v>
      </c>
      <c r="AD93" s="1">
        <v>0</v>
      </c>
      <c r="AE93" s="1" t="s">
        <v>682</v>
      </c>
      <c r="AF93" s="1">
        <v>487000</v>
      </c>
      <c r="AG93" s="1" t="s">
        <v>106</v>
      </c>
      <c r="AH93" s="1">
        <v>28</v>
      </c>
      <c r="AI93" s="1">
        <v>54</v>
      </c>
      <c r="AJ93" s="1">
        <v>17</v>
      </c>
      <c r="AK93" s="1" t="s">
        <v>263</v>
      </c>
      <c r="AL93" s="1">
        <v>33000</v>
      </c>
      <c r="AM93" s="1" t="s">
        <v>1091</v>
      </c>
      <c r="AN93" s="1">
        <v>16</v>
      </c>
      <c r="AO93" s="1" t="s">
        <v>113</v>
      </c>
      <c r="AP93" s="1" t="s">
        <v>113</v>
      </c>
      <c r="AQ93" s="1" t="s">
        <v>157</v>
      </c>
      <c r="AR93" s="1" t="s">
        <v>157</v>
      </c>
      <c r="AS93" s="1" t="s">
        <v>157</v>
      </c>
      <c r="AT93" s="1" t="s">
        <v>1483</v>
      </c>
      <c r="AU93" s="1" t="s">
        <v>106</v>
      </c>
      <c r="AV93" s="1" t="s">
        <v>113</v>
      </c>
      <c r="AW93" s="1" t="s">
        <v>164</v>
      </c>
      <c r="AX93" s="1" t="s">
        <v>165</v>
      </c>
      <c r="AY93" s="1">
        <v>16200</v>
      </c>
      <c r="AZ93" s="1" t="s">
        <v>113</v>
      </c>
      <c r="BA93" s="1" t="s">
        <v>106</v>
      </c>
      <c r="BB93" s="1" t="s">
        <v>1484</v>
      </c>
      <c r="BC93" s="1" t="s">
        <v>206</v>
      </c>
      <c r="BD93" s="1">
        <v>274</v>
      </c>
      <c r="BE93" s="1">
        <v>100</v>
      </c>
      <c r="BF93" s="1" t="s">
        <v>630</v>
      </c>
      <c r="BG93" s="1" t="s">
        <v>132</v>
      </c>
      <c r="BH93" s="1" t="s">
        <v>168</v>
      </c>
      <c r="BI93" s="1" t="s">
        <v>169</v>
      </c>
      <c r="BJ93" s="1" t="s">
        <v>128</v>
      </c>
      <c r="BK93" s="1">
        <v>0</v>
      </c>
      <c r="BL93" s="1" t="s">
        <v>127</v>
      </c>
      <c r="BM93" s="1" t="s">
        <v>114</v>
      </c>
      <c r="BN93" s="1" t="s">
        <v>1485</v>
      </c>
      <c r="BO93" s="1" t="s">
        <v>1485</v>
      </c>
      <c r="BP93" s="1" t="s">
        <v>124</v>
      </c>
      <c r="BQ93" s="1" t="s">
        <v>110</v>
      </c>
      <c r="BR93" s="1" t="s">
        <v>1486</v>
      </c>
      <c r="BS93" s="1" t="s">
        <v>1487</v>
      </c>
      <c r="BT93" s="1" t="s">
        <v>172</v>
      </c>
      <c r="BU93" s="1" t="s">
        <v>173</v>
      </c>
      <c r="BV93" s="1" t="s">
        <v>174</v>
      </c>
      <c r="BW93" s="1" t="s">
        <v>134</v>
      </c>
      <c r="BX93" s="1" t="s">
        <v>157</v>
      </c>
      <c r="BY93" s="1" t="s">
        <v>135</v>
      </c>
      <c r="BZ93" s="1" t="s">
        <v>157</v>
      </c>
      <c r="CA93" s="1">
        <v>589000</v>
      </c>
      <c r="CB93" s="1" t="s">
        <v>216</v>
      </c>
      <c r="CC93" s="1" t="s">
        <v>1488</v>
      </c>
      <c r="CD93" s="1" t="s">
        <v>1489</v>
      </c>
      <c r="CE93" s="1" t="s">
        <v>219</v>
      </c>
      <c r="CF93" s="1">
        <v>287767220</v>
      </c>
      <c r="CG93" s="1">
        <v>411465724</v>
      </c>
      <c r="CH93" s="1">
        <v>225</v>
      </c>
      <c r="CI93" s="1">
        <v>0</v>
      </c>
      <c r="CJ93" s="1">
        <v>94</v>
      </c>
      <c r="CK93" s="1">
        <v>1100</v>
      </c>
      <c r="CL93" s="1">
        <v>678</v>
      </c>
      <c r="CM93" s="1">
        <v>94</v>
      </c>
      <c r="CN93" s="1">
        <v>741</v>
      </c>
      <c r="CO93" s="1">
        <v>0</v>
      </c>
      <c r="CP93" s="1">
        <v>0</v>
      </c>
      <c r="CQ93" s="1">
        <v>0</v>
      </c>
      <c r="CR93" s="1" t="s">
        <v>139</v>
      </c>
      <c r="CS93" s="1" t="s">
        <v>140</v>
      </c>
      <c r="CT93" s="1" t="s">
        <v>394</v>
      </c>
      <c r="CV93" s="1" t="s">
        <v>1490</v>
      </c>
      <c r="CW93" s="1" t="s">
        <v>184</v>
      </c>
      <c r="CX93" s="1" t="s">
        <v>1491</v>
      </c>
      <c r="CY93" s="1" t="s">
        <v>1492</v>
      </c>
      <c r="CZ93" s="1" t="s">
        <v>144</v>
      </c>
      <c r="DA93" s="1" t="s">
        <v>145</v>
      </c>
    </row>
    <row r="94" spans="1:105" s="3" customFormat="1" ht="11.25" customHeight="1" x14ac:dyDescent="0.2">
      <c r="A94" s="1">
        <v>41</v>
      </c>
      <c r="B94" s="1" t="s">
        <v>1494</v>
      </c>
      <c r="C94" s="1" t="s">
        <v>1493</v>
      </c>
      <c r="D94" s="1">
        <v>4557</v>
      </c>
      <c r="E94" s="2" t="s">
        <v>4201</v>
      </c>
      <c r="F94" s="1" t="s">
        <v>106</v>
      </c>
      <c r="G94" s="1" t="s">
        <v>1495</v>
      </c>
      <c r="H94" s="1" t="s">
        <v>1496</v>
      </c>
      <c r="I94" s="1" t="s">
        <v>193</v>
      </c>
      <c r="J94" s="1" t="s">
        <v>113</v>
      </c>
      <c r="L94" s="1" t="s">
        <v>111</v>
      </c>
      <c r="M94" s="1" t="s">
        <v>191</v>
      </c>
      <c r="N94" s="1" t="s">
        <v>112</v>
      </c>
      <c r="O94" s="1" t="s">
        <v>106</v>
      </c>
      <c r="P94" s="1" t="s">
        <v>113</v>
      </c>
      <c r="Q94" s="1" t="s">
        <v>195</v>
      </c>
      <c r="R94" s="1" t="s">
        <v>1497</v>
      </c>
      <c r="S94" s="1" t="s">
        <v>720</v>
      </c>
      <c r="T94" s="1" t="s">
        <v>106</v>
      </c>
      <c r="U94" s="1" t="s">
        <v>1086</v>
      </c>
      <c r="V94" s="1" t="s">
        <v>589</v>
      </c>
      <c r="W94" s="1" t="s">
        <v>115</v>
      </c>
      <c r="X94" s="1" t="s">
        <v>113</v>
      </c>
      <c r="Z94" s="1">
        <v>100</v>
      </c>
      <c r="AA94" s="1" t="s">
        <v>116</v>
      </c>
      <c r="AB94" s="1" t="s">
        <v>128</v>
      </c>
      <c r="AC94" s="1" t="s">
        <v>384</v>
      </c>
      <c r="AD94" s="1">
        <v>100</v>
      </c>
      <c r="AE94" s="1" t="s">
        <v>116</v>
      </c>
      <c r="AF94" s="1">
        <v>299</v>
      </c>
      <c r="AG94" s="1" t="s">
        <v>113</v>
      </c>
      <c r="AH94" s="1">
        <v>0</v>
      </c>
      <c r="AI94" s="1">
        <v>0</v>
      </c>
      <c r="AJ94" s="1">
        <v>0</v>
      </c>
      <c r="AK94" s="1" t="s">
        <v>232</v>
      </c>
      <c r="AL94" s="1">
        <v>97</v>
      </c>
      <c r="AM94" s="1" t="s">
        <v>363</v>
      </c>
      <c r="AN94" s="1">
        <v>0</v>
      </c>
      <c r="AO94" s="1" t="s">
        <v>113</v>
      </c>
      <c r="AP94" s="1" t="s">
        <v>106</v>
      </c>
      <c r="AQ94" s="1" t="s">
        <v>1498</v>
      </c>
      <c r="AR94" s="1" t="s">
        <v>1499</v>
      </c>
      <c r="AS94" s="1" t="s">
        <v>1500</v>
      </c>
      <c r="AT94" s="1" t="s">
        <v>123</v>
      </c>
      <c r="AU94" s="1" t="s">
        <v>113</v>
      </c>
      <c r="AV94" s="1" t="s">
        <v>113</v>
      </c>
      <c r="AW94" s="1" t="s">
        <v>164</v>
      </c>
      <c r="AX94" s="1" t="s">
        <v>165</v>
      </c>
      <c r="AY94" s="1">
        <v>0</v>
      </c>
      <c r="AZ94" s="1" t="s">
        <v>113</v>
      </c>
      <c r="BA94" s="1" t="s">
        <v>113</v>
      </c>
      <c r="BB94" s="1" t="s">
        <v>125</v>
      </c>
      <c r="BC94" s="1" t="s">
        <v>166</v>
      </c>
      <c r="BD94" s="1">
        <v>0</v>
      </c>
      <c r="BE94" s="1">
        <v>100</v>
      </c>
      <c r="BF94" s="1" t="s">
        <v>167</v>
      </c>
      <c r="BG94" s="1" t="s">
        <v>268</v>
      </c>
      <c r="BH94" s="1" t="s">
        <v>269</v>
      </c>
      <c r="BI94" s="1" t="s">
        <v>269</v>
      </c>
      <c r="BJ94" s="1" t="s">
        <v>384</v>
      </c>
      <c r="BK94" s="1">
        <v>100</v>
      </c>
      <c r="BL94" s="1" t="s">
        <v>270</v>
      </c>
      <c r="BM94" s="1" t="s">
        <v>271</v>
      </c>
      <c r="BN94" s="1">
        <v>15</v>
      </c>
      <c r="BO94" s="1">
        <v>0</v>
      </c>
      <c r="BP94" s="1" t="s">
        <v>115</v>
      </c>
      <c r="BQ94" s="1" t="s">
        <v>1501</v>
      </c>
      <c r="BR94" s="1" t="s">
        <v>1500</v>
      </c>
      <c r="BS94" s="1" t="s">
        <v>1502</v>
      </c>
      <c r="BT94" s="1" t="s">
        <v>363</v>
      </c>
      <c r="BU94" s="1" t="s">
        <v>239</v>
      </c>
      <c r="BV94" s="1" t="s">
        <v>713</v>
      </c>
      <c r="BW94" s="1" t="s">
        <v>134</v>
      </c>
      <c r="BX94" s="1" t="s">
        <v>695</v>
      </c>
      <c r="BY94" s="1" t="s">
        <v>135</v>
      </c>
      <c r="BZ94" s="1" t="s">
        <v>191</v>
      </c>
      <c r="CA94" s="1">
        <v>0</v>
      </c>
      <c r="CB94" s="1" t="s">
        <v>244</v>
      </c>
      <c r="CC94" s="1" t="s">
        <v>217</v>
      </c>
      <c r="CD94" s="1" t="s">
        <v>1503</v>
      </c>
      <c r="CE94" s="1" t="s">
        <v>219</v>
      </c>
      <c r="CF94" s="1">
        <v>24467.18</v>
      </c>
      <c r="CG94" s="1">
        <v>234587.31</v>
      </c>
      <c r="CH94" s="1">
        <v>793.25</v>
      </c>
      <c r="CI94" s="1">
        <v>396.76</v>
      </c>
      <c r="CJ94" s="1">
        <v>793.25</v>
      </c>
      <c r="CK94" s="1">
        <v>0.99</v>
      </c>
      <c r="CL94" s="5" t="s">
        <v>1504</v>
      </c>
      <c r="CM94" s="1">
        <v>0</v>
      </c>
      <c r="CN94" s="1">
        <v>0</v>
      </c>
      <c r="CO94" s="1">
        <v>0</v>
      </c>
      <c r="CP94" s="1">
        <v>0</v>
      </c>
      <c r="CQ94" s="1">
        <v>0</v>
      </c>
      <c r="CR94" s="1" t="s">
        <v>139</v>
      </c>
      <c r="CS94" s="1" t="s">
        <v>140</v>
      </c>
      <c r="CT94" s="1" t="s">
        <v>589</v>
      </c>
      <c r="CV94" s="1" t="s">
        <v>1505</v>
      </c>
      <c r="CW94" s="1" t="s">
        <v>251</v>
      </c>
      <c r="CX94" s="1" t="s">
        <v>127</v>
      </c>
      <c r="CY94" s="1" t="s">
        <v>143</v>
      </c>
      <c r="CZ94" s="1" t="s">
        <v>144</v>
      </c>
      <c r="DA94" s="1" t="s">
        <v>145</v>
      </c>
    </row>
    <row r="95" spans="1:105" s="3" customFormat="1" ht="11.25" customHeight="1" x14ac:dyDescent="0.2">
      <c r="A95" s="1">
        <v>41</v>
      </c>
      <c r="B95" s="1" t="s">
        <v>1506</v>
      </c>
      <c r="C95" s="1" t="s">
        <v>1507</v>
      </c>
      <c r="D95" s="1">
        <v>4802</v>
      </c>
      <c r="E95" s="2" t="s">
        <v>1688</v>
      </c>
      <c r="F95" s="1"/>
      <c r="G95" s="1"/>
      <c r="H95" s="1"/>
      <c r="I95" s="1"/>
      <c r="J95" s="1"/>
      <c r="K95" s="1"/>
      <c r="L95" s="1"/>
      <c r="M95" s="1"/>
      <c r="N95" s="1"/>
      <c r="O95" s="1"/>
      <c r="P95" s="1"/>
      <c r="Q95" s="1"/>
      <c r="R95" s="1"/>
      <c r="S95" s="1"/>
      <c r="T95" s="1"/>
      <c r="U95" s="1"/>
      <c r="V95" s="1"/>
      <c r="W95" s="1"/>
      <c r="X95" s="1"/>
      <c r="Y95" s="1"/>
      <c r="Z95" s="1"/>
      <c r="AA95" s="1"/>
      <c r="AB95" s="1"/>
      <c r="AC95" s="1"/>
      <c r="AD95" s="5"/>
      <c r="AE95" s="1"/>
      <c r="AF95" s="1"/>
      <c r="AG95" s="1"/>
      <c r="AH95" s="1"/>
      <c r="AI95" s="1"/>
      <c r="AJ95" s="1"/>
      <c r="AK95" s="1"/>
      <c r="AL95" s="1"/>
      <c r="AM95" s="1"/>
      <c r="AN95" s="5"/>
      <c r="AO95" s="1"/>
      <c r="AP95" s="1"/>
      <c r="AQ95" s="1"/>
      <c r="AR95" s="1"/>
      <c r="AS95" s="1"/>
      <c r="AT95" s="1"/>
      <c r="AU95" s="1"/>
      <c r="AV95" s="1"/>
      <c r="AW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6"/>
      <c r="CG95" s="6"/>
      <c r="CH95" s="1"/>
      <c r="CI95" s="1"/>
      <c r="CJ95" s="1"/>
      <c r="CK95" s="1"/>
      <c r="CL95" s="5"/>
      <c r="CM95" s="5"/>
      <c r="CN95" s="5"/>
      <c r="CO95" s="5"/>
      <c r="CP95" s="5"/>
      <c r="CQ95" s="5"/>
      <c r="CR95" s="1"/>
      <c r="CS95" s="1"/>
      <c r="CT95" s="1"/>
      <c r="CV95" s="1"/>
      <c r="CW95" s="1"/>
      <c r="CX95" s="1"/>
      <c r="CY95" s="1"/>
      <c r="CZ95" s="1"/>
      <c r="DA95" s="1"/>
    </row>
    <row r="96" spans="1:105" s="3" customFormat="1" ht="11.25" customHeight="1" x14ac:dyDescent="0.2">
      <c r="A96" s="1">
        <v>41</v>
      </c>
      <c r="B96" s="1" t="s">
        <v>1508</v>
      </c>
      <c r="C96" s="1" t="s">
        <v>1430</v>
      </c>
      <c r="D96" s="1">
        <v>47014</v>
      </c>
      <c r="E96" s="2" t="s">
        <v>4201</v>
      </c>
      <c r="F96" s="1" t="s">
        <v>113</v>
      </c>
      <c r="G96" s="1" t="s">
        <v>190</v>
      </c>
      <c r="H96" s="1" t="s">
        <v>1341</v>
      </c>
      <c r="I96" s="1" t="s">
        <v>229</v>
      </c>
      <c r="J96" s="1" t="s">
        <v>229</v>
      </c>
      <c r="K96" s="1" t="s">
        <v>1430</v>
      </c>
      <c r="L96" s="1" t="s">
        <v>111</v>
      </c>
      <c r="M96" s="1" t="s">
        <v>1341</v>
      </c>
      <c r="N96" s="1" t="s">
        <v>1509</v>
      </c>
      <c r="O96" s="1" t="s">
        <v>113</v>
      </c>
      <c r="P96" s="1" t="s">
        <v>113</v>
      </c>
      <c r="Q96" s="1" t="s">
        <v>258</v>
      </c>
      <c r="R96" s="1" t="s">
        <v>1510</v>
      </c>
      <c r="S96" s="1" t="s">
        <v>1511</v>
      </c>
      <c r="T96" s="1" t="s">
        <v>106</v>
      </c>
      <c r="U96" s="1" t="s">
        <v>1512</v>
      </c>
      <c r="V96" s="1" t="s">
        <v>1513</v>
      </c>
      <c r="W96" s="1" t="s">
        <v>199</v>
      </c>
      <c r="X96" s="1" t="s">
        <v>113</v>
      </c>
      <c r="Y96" s="1" t="s">
        <v>290</v>
      </c>
      <c r="Z96" s="1">
        <v>100</v>
      </c>
      <c r="AA96" s="1" t="s">
        <v>132</v>
      </c>
      <c r="AB96" s="1" t="s">
        <v>117</v>
      </c>
      <c r="AC96" s="1" t="s">
        <v>384</v>
      </c>
      <c r="AD96" s="1">
        <v>100</v>
      </c>
      <c r="AE96" s="1" t="s">
        <v>1514</v>
      </c>
      <c r="AF96" s="1">
        <v>11530</v>
      </c>
      <c r="AG96" s="1" t="s">
        <v>113</v>
      </c>
      <c r="AH96" s="1">
        <v>55</v>
      </c>
      <c r="AI96" s="1">
        <v>30</v>
      </c>
      <c r="AJ96" s="1">
        <v>15</v>
      </c>
      <c r="AK96" s="1" t="s">
        <v>1515</v>
      </c>
      <c r="AL96" s="1">
        <v>3000</v>
      </c>
      <c r="AM96" s="1" t="s">
        <v>1516</v>
      </c>
      <c r="AN96" s="1">
        <v>1</v>
      </c>
      <c r="AO96" s="1" t="s">
        <v>113</v>
      </c>
      <c r="AP96" s="1" t="s">
        <v>106</v>
      </c>
      <c r="AQ96" s="1" t="s">
        <v>1517</v>
      </c>
      <c r="AR96" s="1" t="s">
        <v>1518</v>
      </c>
      <c r="AS96" s="1" t="s">
        <v>1519</v>
      </c>
      <c r="AT96" s="1" t="s">
        <v>344</v>
      </c>
      <c r="AU96" s="1" t="s">
        <v>106</v>
      </c>
      <c r="AV96" s="1" t="s">
        <v>113</v>
      </c>
      <c r="AW96" s="1" t="s">
        <v>164</v>
      </c>
      <c r="AX96" s="1" t="s">
        <v>206</v>
      </c>
      <c r="AY96" s="1">
        <v>490</v>
      </c>
      <c r="AZ96" s="1" t="s">
        <v>106</v>
      </c>
      <c r="BA96" s="1" t="s">
        <v>113</v>
      </c>
      <c r="BB96" s="1" t="s">
        <v>125</v>
      </c>
      <c r="BC96" s="1" t="s">
        <v>166</v>
      </c>
      <c r="BD96" s="1">
        <v>0</v>
      </c>
      <c r="BE96" s="1">
        <v>100</v>
      </c>
      <c r="BF96" s="1" t="s">
        <v>1206</v>
      </c>
      <c r="BG96" s="1" t="s">
        <v>1520</v>
      </c>
      <c r="BH96" s="1" t="s">
        <v>269</v>
      </c>
      <c r="BI96" s="1" t="s">
        <v>269</v>
      </c>
      <c r="BJ96" s="1" t="s">
        <v>384</v>
      </c>
      <c r="BK96" s="1">
        <v>100</v>
      </c>
      <c r="BL96" s="1" t="s">
        <v>270</v>
      </c>
      <c r="BM96" s="1" t="s">
        <v>386</v>
      </c>
      <c r="BN96" s="1">
        <v>20</v>
      </c>
      <c r="BO96" s="1">
        <v>0</v>
      </c>
      <c r="BP96" s="1" t="s">
        <v>124</v>
      </c>
      <c r="BQ96" s="1" t="s">
        <v>1430</v>
      </c>
      <c r="BR96" s="1" t="s">
        <v>1521</v>
      </c>
      <c r="BS96" s="1" t="s">
        <v>1522</v>
      </c>
      <c r="BT96" s="1" t="s">
        <v>172</v>
      </c>
      <c r="BU96" s="1" t="s">
        <v>1523</v>
      </c>
      <c r="BV96" s="1" t="s">
        <v>275</v>
      </c>
      <c r="BW96" s="1" t="s">
        <v>1524</v>
      </c>
      <c r="BX96" s="1" t="s">
        <v>325</v>
      </c>
      <c r="BY96" s="1" t="s">
        <v>1525</v>
      </c>
      <c r="BZ96" s="1" t="s">
        <v>1526</v>
      </c>
      <c r="CA96" s="1">
        <v>7597</v>
      </c>
      <c r="CB96" s="1" t="s">
        <v>244</v>
      </c>
      <c r="CC96" s="1" t="s">
        <v>277</v>
      </c>
      <c r="CD96" s="1" t="s">
        <v>1527</v>
      </c>
      <c r="CE96" s="1" t="s">
        <v>660</v>
      </c>
      <c r="CF96" s="1">
        <v>2860910.01</v>
      </c>
      <c r="CG96" s="1">
        <v>6654975.8099999996</v>
      </c>
      <c r="CH96" s="1">
        <v>505.66</v>
      </c>
      <c r="CI96" s="1">
        <v>505.66</v>
      </c>
      <c r="CJ96" s="1">
        <v>245.66</v>
      </c>
      <c r="CK96" s="1">
        <v>260</v>
      </c>
      <c r="CL96" s="1">
        <v>505</v>
      </c>
      <c r="CM96" s="1">
        <v>245</v>
      </c>
      <c r="CN96" s="1">
        <v>1187</v>
      </c>
      <c r="CO96" s="1">
        <v>0</v>
      </c>
      <c r="CP96" s="1">
        <v>0</v>
      </c>
      <c r="CQ96" s="1">
        <v>0</v>
      </c>
      <c r="CR96" s="1" t="s">
        <v>139</v>
      </c>
      <c r="CS96" s="1" t="s">
        <v>1528</v>
      </c>
      <c r="CT96" s="1" t="s">
        <v>1529</v>
      </c>
      <c r="CV96" s="1" t="s">
        <v>1530</v>
      </c>
      <c r="CW96" s="1" t="s">
        <v>141</v>
      </c>
      <c r="CX96" s="1" t="s">
        <v>1531</v>
      </c>
      <c r="CY96" s="1" t="s">
        <v>143</v>
      </c>
      <c r="CZ96" s="1" t="s">
        <v>144</v>
      </c>
      <c r="DA96" s="1" t="s">
        <v>145</v>
      </c>
    </row>
    <row r="97" spans="1:105" s="3" customFormat="1" ht="11.25" customHeight="1" x14ac:dyDescent="0.2">
      <c r="A97" s="1">
        <v>41</v>
      </c>
      <c r="B97" s="1" t="s">
        <v>1533</v>
      </c>
      <c r="C97" s="1" t="s">
        <v>1532</v>
      </c>
      <c r="D97" s="1">
        <v>9525</v>
      </c>
      <c r="E97" s="2" t="s">
        <v>4201</v>
      </c>
      <c r="F97" s="1" t="s">
        <v>113</v>
      </c>
      <c r="H97" s="1" t="s">
        <v>1534</v>
      </c>
      <c r="I97" s="1" t="s">
        <v>229</v>
      </c>
      <c r="J97" s="1" t="s">
        <v>113</v>
      </c>
      <c r="K97" s="1" t="s">
        <v>1534</v>
      </c>
      <c r="L97" s="1" t="s">
        <v>149</v>
      </c>
      <c r="M97" s="1" t="s">
        <v>1535</v>
      </c>
      <c r="N97" s="1" t="s">
        <v>151</v>
      </c>
      <c r="O97" s="1" t="s">
        <v>106</v>
      </c>
      <c r="P97" s="1" t="s">
        <v>113</v>
      </c>
      <c r="Q97" s="1" t="s">
        <v>195</v>
      </c>
      <c r="R97" s="1" t="s">
        <v>1536</v>
      </c>
      <c r="S97" s="1" t="s">
        <v>1534</v>
      </c>
      <c r="T97" s="1" t="s">
        <v>106</v>
      </c>
      <c r="U97" s="1" t="s">
        <v>1535</v>
      </c>
      <c r="V97" s="1" t="s">
        <v>1537</v>
      </c>
      <c r="W97" s="1" t="s">
        <v>115</v>
      </c>
      <c r="X97" s="1" t="s">
        <v>106</v>
      </c>
      <c r="Y97" s="1" t="s">
        <v>1535</v>
      </c>
      <c r="Z97" s="1">
        <v>100</v>
      </c>
      <c r="AA97" s="1" t="s">
        <v>116</v>
      </c>
      <c r="AB97" s="1" t="s">
        <v>128</v>
      </c>
      <c r="AC97" s="1" t="s">
        <v>118</v>
      </c>
      <c r="AD97" s="1">
        <v>20</v>
      </c>
      <c r="AE97" s="1" t="s">
        <v>116</v>
      </c>
      <c r="AF97" s="1">
        <v>1545</v>
      </c>
      <c r="AG97" s="1" t="s">
        <v>106</v>
      </c>
      <c r="AH97" s="1">
        <v>45</v>
      </c>
      <c r="AI97" s="1">
        <v>36</v>
      </c>
      <c r="AJ97" s="1">
        <v>16</v>
      </c>
      <c r="AK97" s="1" t="s">
        <v>449</v>
      </c>
      <c r="AL97" s="1">
        <v>380</v>
      </c>
      <c r="AM97" s="1" t="s">
        <v>120</v>
      </c>
      <c r="AN97" s="1">
        <v>100</v>
      </c>
      <c r="AO97" s="1" t="s">
        <v>113</v>
      </c>
      <c r="AP97" s="1" t="s">
        <v>106</v>
      </c>
      <c r="AQ97" s="1" t="s">
        <v>1538</v>
      </c>
      <c r="AR97" s="1" t="s">
        <v>1539</v>
      </c>
      <c r="AS97" s="1" t="s">
        <v>1540</v>
      </c>
      <c r="AT97" s="1" t="s">
        <v>1541</v>
      </c>
      <c r="AU97" s="1" t="s">
        <v>113</v>
      </c>
      <c r="AV97" s="1" t="s">
        <v>113</v>
      </c>
      <c r="AW97" s="1" t="s">
        <v>164</v>
      </c>
      <c r="AX97" s="1" t="s">
        <v>165</v>
      </c>
      <c r="AY97" s="1">
        <v>0</v>
      </c>
      <c r="AZ97" s="1" t="s">
        <v>113</v>
      </c>
      <c r="BA97" s="1" t="s">
        <v>113</v>
      </c>
      <c r="BB97" s="1" t="s">
        <v>125</v>
      </c>
      <c r="BC97" s="1" t="s">
        <v>166</v>
      </c>
      <c r="BD97" s="1">
        <v>0</v>
      </c>
      <c r="BE97" s="1">
        <v>100</v>
      </c>
      <c r="BF97" s="1" t="s">
        <v>167</v>
      </c>
      <c r="BG97" s="1" t="s">
        <v>116</v>
      </c>
      <c r="BH97" s="1" t="s">
        <v>168</v>
      </c>
      <c r="BI97" s="1" t="s">
        <v>569</v>
      </c>
      <c r="BJ97" s="1" t="s">
        <v>208</v>
      </c>
      <c r="BK97" s="1">
        <v>20</v>
      </c>
      <c r="BL97" s="1" t="s">
        <v>270</v>
      </c>
      <c r="BM97" s="1" t="s">
        <v>210</v>
      </c>
      <c r="BN97" s="1" t="s">
        <v>143</v>
      </c>
      <c r="BO97" s="1">
        <v>2</v>
      </c>
      <c r="BP97" s="1" t="s">
        <v>124</v>
      </c>
      <c r="BQ97" s="1">
        <v>0</v>
      </c>
      <c r="BR97" s="1" t="s">
        <v>1542</v>
      </c>
      <c r="BS97" s="1" t="s">
        <v>1543</v>
      </c>
      <c r="BT97" s="1" t="s">
        <v>172</v>
      </c>
      <c r="BU97" s="1" t="s">
        <v>239</v>
      </c>
      <c r="BV97" s="1" t="s">
        <v>1544</v>
      </c>
      <c r="BW97" s="1" t="s">
        <v>298</v>
      </c>
      <c r="BX97" s="1" t="s">
        <v>325</v>
      </c>
      <c r="BY97" s="1" t="s">
        <v>299</v>
      </c>
      <c r="BZ97" s="1" t="s">
        <v>1545</v>
      </c>
      <c r="CA97" s="1">
        <v>1545</v>
      </c>
      <c r="CB97" s="1" t="s">
        <v>176</v>
      </c>
      <c r="CC97" s="1" t="s">
        <v>177</v>
      </c>
      <c r="CD97" s="1" t="s">
        <v>1546</v>
      </c>
      <c r="CE97" s="1" t="s">
        <v>179</v>
      </c>
      <c r="CF97" s="1">
        <v>198000</v>
      </c>
      <c r="CG97" s="1">
        <v>300000</v>
      </c>
      <c r="CH97" s="1">
        <v>142.24</v>
      </c>
      <c r="CI97" s="1">
        <v>142</v>
      </c>
      <c r="CJ97" s="1">
        <v>142</v>
      </c>
      <c r="CK97" s="1">
        <v>142</v>
      </c>
      <c r="CL97" s="1">
        <v>142</v>
      </c>
      <c r="CM97" s="1">
        <v>142</v>
      </c>
      <c r="CN97" s="1">
        <v>142</v>
      </c>
      <c r="CO97" s="1">
        <v>142</v>
      </c>
      <c r="CP97" s="1">
        <v>142</v>
      </c>
      <c r="CQ97" s="1">
        <v>142</v>
      </c>
      <c r="CR97" s="1" t="s">
        <v>139</v>
      </c>
      <c r="CS97" s="1" t="s">
        <v>140</v>
      </c>
      <c r="CT97" s="1" t="s">
        <v>1309</v>
      </c>
      <c r="CV97" s="1" t="s">
        <v>1547</v>
      </c>
      <c r="CW97" s="1" t="s">
        <v>251</v>
      </c>
      <c r="CX97" s="1" t="s">
        <v>1548</v>
      </c>
      <c r="CY97" s="1" t="s">
        <v>1548</v>
      </c>
      <c r="CZ97" s="1" t="s">
        <v>144</v>
      </c>
      <c r="DA97" s="1" t="s">
        <v>145</v>
      </c>
    </row>
    <row r="98" spans="1:105" s="3" customFormat="1" ht="11.25" customHeight="1" x14ac:dyDescent="0.2">
      <c r="A98" s="1">
        <v>41</v>
      </c>
      <c r="B98" s="1" t="s">
        <v>1550</v>
      </c>
      <c r="C98" s="1" t="s">
        <v>1549</v>
      </c>
      <c r="D98" s="1">
        <v>6484</v>
      </c>
      <c r="E98" s="2" t="s">
        <v>4201</v>
      </c>
      <c r="F98" s="1" t="s">
        <v>113</v>
      </c>
      <c r="G98" s="1" t="s">
        <v>190</v>
      </c>
      <c r="H98" s="1" t="s">
        <v>1146</v>
      </c>
      <c r="I98" s="1" t="s">
        <v>229</v>
      </c>
      <c r="J98" s="1" t="s">
        <v>229</v>
      </c>
      <c r="L98" s="1" t="s">
        <v>111</v>
      </c>
      <c r="M98" s="1" t="s">
        <v>111</v>
      </c>
      <c r="N98" s="1" t="s">
        <v>1551</v>
      </c>
      <c r="O98" s="1" t="s">
        <v>106</v>
      </c>
      <c r="P98" s="1" t="s">
        <v>113</v>
      </c>
      <c r="Q98" s="1" t="s">
        <v>195</v>
      </c>
      <c r="R98" s="1" t="s">
        <v>1552</v>
      </c>
      <c r="S98" s="1" t="s">
        <v>114</v>
      </c>
      <c r="T98" s="1" t="s">
        <v>106</v>
      </c>
      <c r="U98" s="1" t="s">
        <v>1553</v>
      </c>
      <c r="V98" s="1" t="s">
        <v>1554</v>
      </c>
      <c r="W98" s="1" t="s">
        <v>115</v>
      </c>
      <c r="X98" s="1" t="s">
        <v>106</v>
      </c>
      <c r="Y98" s="1" t="s">
        <v>1553</v>
      </c>
      <c r="Z98" s="1">
        <v>100</v>
      </c>
      <c r="AA98" s="1" t="s">
        <v>116</v>
      </c>
      <c r="AB98" s="1" t="s">
        <v>128</v>
      </c>
      <c r="AC98" s="1" t="s">
        <v>128</v>
      </c>
      <c r="AD98" s="1">
        <v>0</v>
      </c>
      <c r="AE98" s="1" t="s">
        <v>159</v>
      </c>
      <c r="AF98" s="1">
        <v>1068</v>
      </c>
      <c r="AG98" s="1" t="s">
        <v>113</v>
      </c>
      <c r="AH98" s="1">
        <v>0</v>
      </c>
      <c r="AI98" s="1">
        <v>0</v>
      </c>
      <c r="AJ98" s="1">
        <v>0</v>
      </c>
      <c r="AK98" s="1" t="s">
        <v>626</v>
      </c>
      <c r="AL98" s="1">
        <v>0</v>
      </c>
      <c r="AM98" s="1" t="s">
        <v>1555</v>
      </c>
      <c r="AN98" s="1">
        <v>0</v>
      </c>
      <c r="AO98" s="1" t="s">
        <v>113</v>
      </c>
      <c r="AP98" s="1" t="s">
        <v>113</v>
      </c>
      <c r="AQ98" s="1" t="s">
        <v>114</v>
      </c>
      <c r="AR98" s="1" t="s">
        <v>114</v>
      </c>
      <c r="AS98" s="1" t="s">
        <v>114</v>
      </c>
      <c r="AT98" s="1" t="s">
        <v>123</v>
      </c>
      <c r="AU98" s="1" t="s">
        <v>113</v>
      </c>
      <c r="AV98" s="1" t="s">
        <v>113</v>
      </c>
      <c r="AW98" s="1" t="s">
        <v>164</v>
      </c>
      <c r="AY98" s="1">
        <v>0</v>
      </c>
      <c r="AZ98" s="1" t="s">
        <v>113</v>
      </c>
      <c r="BA98" s="1" t="s">
        <v>113</v>
      </c>
      <c r="BB98" s="1" t="s">
        <v>125</v>
      </c>
      <c r="BC98" s="1" t="s">
        <v>166</v>
      </c>
      <c r="BD98" s="1">
        <v>0</v>
      </c>
      <c r="BE98" s="1">
        <v>100</v>
      </c>
      <c r="BF98" s="1" t="s">
        <v>167</v>
      </c>
      <c r="BG98" s="1" t="s">
        <v>116</v>
      </c>
      <c r="BH98" s="1" t="s">
        <v>168</v>
      </c>
      <c r="BI98" s="1" t="s">
        <v>269</v>
      </c>
      <c r="BJ98" s="1" t="s">
        <v>128</v>
      </c>
      <c r="BK98" s="1">
        <v>0</v>
      </c>
      <c r="BL98" s="1" t="s">
        <v>127</v>
      </c>
      <c r="BN98" s="1">
        <v>0</v>
      </c>
      <c r="BP98" s="1" t="s">
        <v>115</v>
      </c>
      <c r="BQ98" s="1" t="s">
        <v>1556</v>
      </c>
      <c r="BR98" s="1" t="s">
        <v>1557</v>
      </c>
      <c r="BS98" s="1" t="s">
        <v>1558</v>
      </c>
      <c r="BT98" s="1" t="s">
        <v>131</v>
      </c>
      <c r="BU98" s="1" t="s">
        <v>132</v>
      </c>
      <c r="BV98" s="1" t="s">
        <v>1559</v>
      </c>
      <c r="BW98" s="1" t="s">
        <v>134</v>
      </c>
      <c r="BX98" s="1" t="s">
        <v>114</v>
      </c>
      <c r="BY98" s="1" t="s">
        <v>135</v>
      </c>
      <c r="BZ98" s="1" t="s">
        <v>114</v>
      </c>
      <c r="CA98" s="1">
        <v>1068</v>
      </c>
      <c r="CB98" s="1" t="s">
        <v>244</v>
      </c>
      <c r="CC98" s="1" t="s">
        <v>217</v>
      </c>
      <c r="CD98" s="1" t="s">
        <v>1560</v>
      </c>
      <c r="CE98" s="1" t="s">
        <v>219</v>
      </c>
      <c r="CF98" s="1">
        <v>179856.67</v>
      </c>
      <c r="CG98" s="1">
        <v>279068.19</v>
      </c>
      <c r="CH98" s="1">
        <v>0</v>
      </c>
      <c r="CI98" s="1">
        <v>0</v>
      </c>
      <c r="CJ98" s="1">
        <v>0</v>
      </c>
      <c r="CK98" s="1">
        <v>160.80000000000001</v>
      </c>
      <c r="CL98" s="1">
        <v>230</v>
      </c>
      <c r="CM98" s="1">
        <v>0</v>
      </c>
      <c r="CN98" s="1">
        <v>0</v>
      </c>
      <c r="CO98" s="1">
        <v>0</v>
      </c>
      <c r="CP98" s="1">
        <v>0</v>
      </c>
      <c r="CQ98" s="1">
        <v>0</v>
      </c>
      <c r="CR98" s="1" t="s">
        <v>139</v>
      </c>
      <c r="CS98" s="1" t="s">
        <v>140</v>
      </c>
      <c r="CT98" s="1" t="s">
        <v>394</v>
      </c>
      <c r="CW98" s="1" t="s">
        <v>184</v>
      </c>
      <c r="CX98" s="1" t="s">
        <v>1561</v>
      </c>
      <c r="CY98" s="1" t="s">
        <v>143</v>
      </c>
      <c r="CZ98" s="1" t="s">
        <v>144</v>
      </c>
      <c r="DA98" s="1" t="s">
        <v>145</v>
      </c>
    </row>
    <row r="99" spans="1:105" s="3" customFormat="1" ht="11.25" customHeight="1" x14ac:dyDescent="0.2">
      <c r="A99" s="1">
        <v>41</v>
      </c>
      <c r="B99" s="1" t="s">
        <v>1563</v>
      </c>
      <c r="C99" s="1" t="s">
        <v>1562</v>
      </c>
      <c r="D99" s="1">
        <v>12431</v>
      </c>
      <c r="E99" s="2" t="s">
        <v>4201</v>
      </c>
      <c r="F99" s="1" t="s">
        <v>113</v>
      </c>
      <c r="G99" s="1" t="s">
        <v>190</v>
      </c>
      <c r="H99" s="1" t="s">
        <v>190</v>
      </c>
      <c r="I99" s="1" t="s">
        <v>193</v>
      </c>
      <c r="J99" s="1" t="s">
        <v>229</v>
      </c>
      <c r="K99" s="1" t="s">
        <v>190</v>
      </c>
      <c r="L99" s="1" t="s">
        <v>111</v>
      </c>
      <c r="M99" s="1" t="s">
        <v>111</v>
      </c>
      <c r="N99" s="1" t="s">
        <v>112</v>
      </c>
      <c r="O99" s="1" t="s">
        <v>113</v>
      </c>
      <c r="P99" s="1" t="s">
        <v>113</v>
      </c>
      <c r="Q99" s="1" t="s">
        <v>111</v>
      </c>
      <c r="R99" s="1" t="s">
        <v>114</v>
      </c>
      <c r="S99" s="1" t="s">
        <v>114</v>
      </c>
      <c r="T99" s="1" t="s">
        <v>106</v>
      </c>
      <c r="U99" s="1" t="s">
        <v>1564</v>
      </c>
      <c r="V99" s="1" t="s">
        <v>1565</v>
      </c>
      <c r="W99" s="1" t="s">
        <v>115</v>
      </c>
      <c r="X99" s="1" t="s">
        <v>113</v>
      </c>
      <c r="Y99" s="1" t="s">
        <v>114</v>
      </c>
      <c r="Z99" s="1">
        <v>100</v>
      </c>
      <c r="AA99" s="1" t="s">
        <v>116</v>
      </c>
      <c r="AB99" s="1" t="s">
        <v>128</v>
      </c>
      <c r="AC99" s="1" t="s">
        <v>128</v>
      </c>
      <c r="AD99" s="1">
        <v>0</v>
      </c>
      <c r="AE99" s="1" t="s">
        <v>1566</v>
      </c>
      <c r="AF99" s="1">
        <v>2400</v>
      </c>
      <c r="AG99" s="1" t="s">
        <v>113</v>
      </c>
      <c r="AH99" s="1">
        <v>0</v>
      </c>
      <c r="AI99" s="1">
        <v>0</v>
      </c>
      <c r="AJ99" s="1">
        <v>0</v>
      </c>
      <c r="AK99" s="1" t="s">
        <v>449</v>
      </c>
      <c r="AL99" s="1">
        <v>2000</v>
      </c>
      <c r="AM99" s="1" t="s">
        <v>1567</v>
      </c>
      <c r="AO99" s="1" t="s">
        <v>113</v>
      </c>
      <c r="AP99" s="1" t="s">
        <v>113</v>
      </c>
      <c r="AQ99" s="1" t="s">
        <v>114</v>
      </c>
      <c r="AR99" s="1" t="s">
        <v>114</v>
      </c>
      <c r="AS99" s="1" t="s">
        <v>114</v>
      </c>
      <c r="AT99" s="1" t="s">
        <v>123</v>
      </c>
      <c r="AU99" s="1" t="s">
        <v>106</v>
      </c>
      <c r="AV99" s="1" t="s">
        <v>113</v>
      </c>
      <c r="AW99" s="1" t="s">
        <v>1568</v>
      </c>
      <c r="AX99" s="1" t="s">
        <v>235</v>
      </c>
      <c r="AY99" s="1">
        <v>80</v>
      </c>
      <c r="AZ99" s="1" t="s">
        <v>113</v>
      </c>
      <c r="BA99" s="1" t="s">
        <v>113</v>
      </c>
      <c r="BB99" s="1" t="s">
        <v>125</v>
      </c>
      <c r="BC99" s="1" t="s">
        <v>166</v>
      </c>
      <c r="BD99" s="1">
        <v>0</v>
      </c>
      <c r="BE99" s="1">
        <v>100</v>
      </c>
      <c r="BF99" s="1" t="s">
        <v>167</v>
      </c>
      <c r="BG99" s="1" t="s">
        <v>116</v>
      </c>
      <c r="BH99" s="1" t="s">
        <v>168</v>
      </c>
      <c r="BI99" s="1" t="s">
        <v>207</v>
      </c>
      <c r="BJ99" s="1" t="s">
        <v>208</v>
      </c>
      <c r="BK99" s="1">
        <v>0</v>
      </c>
      <c r="BL99" s="1" t="s">
        <v>127</v>
      </c>
      <c r="BM99" s="1" t="s">
        <v>1566</v>
      </c>
      <c r="BN99" s="1">
        <v>0</v>
      </c>
      <c r="BO99" s="1">
        <v>5</v>
      </c>
      <c r="BP99" s="1" t="s">
        <v>947</v>
      </c>
      <c r="BQ99" s="1" t="s">
        <v>1569</v>
      </c>
      <c r="BR99" s="1" t="s">
        <v>1570</v>
      </c>
      <c r="BS99" s="1" t="s">
        <v>1571</v>
      </c>
      <c r="BT99" s="1" t="s">
        <v>131</v>
      </c>
      <c r="BU99" s="1" t="s">
        <v>239</v>
      </c>
      <c r="BV99" s="1" t="s">
        <v>800</v>
      </c>
      <c r="BW99" s="1" t="s">
        <v>134</v>
      </c>
      <c r="BX99" s="1" t="s">
        <v>135</v>
      </c>
      <c r="BY99" s="1" t="s">
        <v>135</v>
      </c>
      <c r="BZ99" s="1" t="s">
        <v>1117</v>
      </c>
      <c r="CA99" s="1">
        <v>2400</v>
      </c>
      <c r="CB99" s="1" t="s">
        <v>244</v>
      </c>
      <c r="CC99" s="1" t="s">
        <v>1572</v>
      </c>
      <c r="CD99" s="1" t="s">
        <v>1573</v>
      </c>
      <c r="CE99" s="1" t="s">
        <v>179</v>
      </c>
      <c r="CF99" s="1">
        <v>334330.09000000003</v>
      </c>
      <c r="CG99" s="1">
        <v>261186.42</v>
      </c>
      <c r="CH99" s="1">
        <v>0</v>
      </c>
      <c r="CI99" s="1">
        <v>0</v>
      </c>
      <c r="CJ99" s="1">
        <v>259200</v>
      </c>
      <c r="CK99" s="1">
        <v>213849.53</v>
      </c>
      <c r="CL99" s="1">
        <v>0</v>
      </c>
      <c r="CM99" s="1">
        <v>16373930</v>
      </c>
      <c r="CN99" s="1">
        <v>4550000</v>
      </c>
      <c r="CO99" s="1">
        <v>0</v>
      </c>
      <c r="CP99" s="1">
        <v>0</v>
      </c>
      <c r="CQ99" s="1">
        <v>0</v>
      </c>
      <c r="CR99" s="1" t="s">
        <v>139</v>
      </c>
      <c r="CS99" s="1" t="s">
        <v>308</v>
      </c>
      <c r="CT99" s="1" t="s">
        <v>248</v>
      </c>
      <c r="CU99" s="1" t="s">
        <v>249</v>
      </c>
      <c r="CV99" s="1" t="s">
        <v>1574</v>
      </c>
      <c r="CW99" s="1" t="s">
        <v>251</v>
      </c>
      <c r="CX99" s="1" t="s">
        <v>114</v>
      </c>
      <c r="CY99" s="1" t="s">
        <v>114</v>
      </c>
      <c r="CZ99" s="1" t="s">
        <v>144</v>
      </c>
      <c r="DA99" s="1" t="s">
        <v>145</v>
      </c>
    </row>
    <row r="100" spans="1:105" s="3" customFormat="1" ht="11.25" customHeight="1" x14ac:dyDescent="0.2">
      <c r="A100" s="1">
        <v>41</v>
      </c>
      <c r="B100" s="1" t="s">
        <v>1576</v>
      </c>
      <c r="C100" s="1" t="s">
        <v>1575</v>
      </c>
      <c r="D100" s="1">
        <v>4729</v>
      </c>
      <c r="E100" s="2" t="s">
        <v>4201</v>
      </c>
      <c r="F100" s="1" t="s">
        <v>106</v>
      </c>
      <c r="G100" s="1" t="s">
        <v>603</v>
      </c>
      <c r="H100" s="1" t="s">
        <v>1577</v>
      </c>
      <c r="I100" s="1" t="s">
        <v>1578</v>
      </c>
      <c r="J100" s="1" t="s">
        <v>113</v>
      </c>
      <c r="K100" s="1" t="s">
        <v>1579</v>
      </c>
      <c r="L100" s="1" t="s">
        <v>111</v>
      </c>
      <c r="M100" s="1" t="s">
        <v>465</v>
      </c>
      <c r="N100" s="1" t="s">
        <v>151</v>
      </c>
      <c r="O100" s="1" t="s">
        <v>113</v>
      </c>
      <c r="P100" s="1" t="s">
        <v>113</v>
      </c>
      <c r="Q100" s="1" t="s">
        <v>195</v>
      </c>
      <c r="R100" s="1" t="s">
        <v>1580</v>
      </c>
      <c r="S100" s="1" t="s">
        <v>114</v>
      </c>
      <c r="T100" s="1" t="s">
        <v>113</v>
      </c>
      <c r="U100" s="1" t="s">
        <v>114</v>
      </c>
      <c r="V100" s="1" t="s">
        <v>1581</v>
      </c>
      <c r="W100" s="1" t="s">
        <v>115</v>
      </c>
      <c r="X100" s="1" t="s">
        <v>113</v>
      </c>
      <c r="Y100" s="1" t="s">
        <v>114</v>
      </c>
      <c r="Z100" s="1">
        <v>100</v>
      </c>
      <c r="AA100" s="1" t="s">
        <v>132</v>
      </c>
      <c r="AB100" s="1" t="s">
        <v>128</v>
      </c>
      <c r="AC100" s="1" t="s">
        <v>128</v>
      </c>
      <c r="AD100" s="1">
        <v>0</v>
      </c>
      <c r="AE100" s="1" t="s">
        <v>1582</v>
      </c>
      <c r="AF100" s="1">
        <v>880</v>
      </c>
      <c r="AG100" s="1" t="s">
        <v>113</v>
      </c>
      <c r="AH100" s="1">
        <v>57</v>
      </c>
      <c r="AI100" s="1">
        <v>26</v>
      </c>
      <c r="AJ100" s="1">
        <v>17</v>
      </c>
      <c r="AK100" s="1" t="s">
        <v>758</v>
      </c>
      <c r="AL100" s="1">
        <v>50</v>
      </c>
      <c r="AM100" s="1" t="s">
        <v>1583</v>
      </c>
      <c r="AN100" s="1">
        <v>0</v>
      </c>
      <c r="AO100" s="1" t="s">
        <v>113</v>
      </c>
      <c r="AP100" s="1" t="s">
        <v>113</v>
      </c>
      <c r="AQ100" s="1" t="s">
        <v>114</v>
      </c>
      <c r="AR100" s="1" t="s">
        <v>114</v>
      </c>
      <c r="AS100" s="1" t="s">
        <v>114</v>
      </c>
      <c r="AT100" s="1" t="s">
        <v>123</v>
      </c>
      <c r="AU100" s="1" t="s">
        <v>106</v>
      </c>
      <c r="AV100" s="1" t="s">
        <v>113</v>
      </c>
      <c r="AW100" s="1" t="s">
        <v>234</v>
      </c>
      <c r="AX100" s="1" t="s">
        <v>165</v>
      </c>
      <c r="AY100" s="1">
        <v>0</v>
      </c>
      <c r="AZ100" s="1" t="s">
        <v>106</v>
      </c>
      <c r="BA100" s="1" t="s">
        <v>113</v>
      </c>
      <c r="BB100" s="1" t="s">
        <v>125</v>
      </c>
      <c r="BC100" s="1" t="s">
        <v>166</v>
      </c>
      <c r="BD100" s="1">
        <v>0</v>
      </c>
      <c r="BE100" s="1">
        <v>100</v>
      </c>
      <c r="BF100" s="1" t="s">
        <v>167</v>
      </c>
      <c r="BG100" s="1" t="s">
        <v>132</v>
      </c>
      <c r="BH100" s="1" t="s">
        <v>168</v>
      </c>
      <c r="BI100" s="1" t="s">
        <v>269</v>
      </c>
      <c r="BJ100" s="1" t="s">
        <v>208</v>
      </c>
      <c r="BK100" s="1">
        <v>3</v>
      </c>
      <c r="BL100" s="1" t="s">
        <v>270</v>
      </c>
      <c r="BM100" s="1" t="s">
        <v>472</v>
      </c>
      <c r="BN100" s="1">
        <v>1</v>
      </c>
      <c r="BO100" s="1">
        <v>8</v>
      </c>
      <c r="BP100" s="1" t="s">
        <v>115</v>
      </c>
      <c r="BQ100" s="1" t="s">
        <v>1584</v>
      </c>
      <c r="BR100" s="1" t="s">
        <v>1585</v>
      </c>
      <c r="BS100" s="1" t="s">
        <v>1586</v>
      </c>
      <c r="BT100" s="1" t="s">
        <v>131</v>
      </c>
      <c r="BU100" s="1" t="s">
        <v>132</v>
      </c>
      <c r="BV100" s="1" t="s">
        <v>571</v>
      </c>
      <c r="BW100" s="1" t="s">
        <v>134</v>
      </c>
      <c r="BX100" s="1" t="s">
        <v>1587</v>
      </c>
      <c r="BY100" s="1" t="s">
        <v>135</v>
      </c>
      <c r="BZ100" s="1" t="s">
        <v>1588</v>
      </c>
      <c r="CA100" s="1">
        <v>649</v>
      </c>
      <c r="CB100" s="1" t="s">
        <v>176</v>
      </c>
      <c r="CC100" s="1" t="s">
        <v>177</v>
      </c>
      <c r="CD100" s="1" t="s">
        <v>1589</v>
      </c>
      <c r="CE100" s="1" t="s">
        <v>478</v>
      </c>
      <c r="CF100" s="4">
        <v>365075</v>
      </c>
      <c r="CG100" s="4">
        <v>959069</v>
      </c>
      <c r="CH100" s="1">
        <v>1638</v>
      </c>
      <c r="CI100" s="1">
        <v>0</v>
      </c>
      <c r="CJ100" s="1">
        <v>245</v>
      </c>
      <c r="CK100" s="1">
        <v>1181</v>
      </c>
      <c r="CL100" s="1">
        <v>358</v>
      </c>
      <c r="CM100" s="1">
        <v>0</v>
      </c>
      <c r="CN100" s="1">
        <v>0</v>
      </c>
      <c r="CO100" s="1">
        <v>0</v>
      </c>
      <c r="CP100" s="1">
        <v>1638</v>
      </c>
      <c r="CQ100" s="1">
        <v>0</v>
      </c>
      <c r="CR100" s="1" t="s">
        <v>139</v>
      </c>
      <c r="CS100" s="1" t="s">
        <v>308</v>
      </c>
      <c r="CT100" s="1" t="s">
        <v>394</v>
      </c>
      <c r="CV100" s="1" t="s">
        <v>310</v>
      </c>
      <c r="CW100" s="1" t="s">
        <v>251</v>
      </c>
      <c r="CX100" s="1" t="s">
        <v>114</v>
      </c>
      <c r="CY100" s="1" t="s">
        <v>143</v>
      </c>
      <c r="CZ100" s="1" t="s">
        <v>144</v>
      </c>
      <c r="DA100" s="1" t="s">
        <v>145</v>
      </c>
    </row>
    <row r="101" spans="1:105" s="3" customFormat="1" ht="11.25" customHeight="1" x14ac:dyDescent="0.2">
      <c r="A101" s="1">
        <v>41</v>
      </c>
      <c r="B101" s="1" t="s">
        <v>1591</v>
      </c>
      <c r="C101" s="1" t="s">
        <v>1590</v>
      </c>
      <c r="D101" s="1">
        <v>1858</v>
      </c>
      <c r="E101" s="2" t="s">
        <v>4201</v>
      </c>
      <c r="F101" s="1" t="s">
        <v>106</v>
      </c>
      <c r="H101" s="1" t="s">
        <v>1592</v>
      </c>
      <c r="I101" s="1" t="s">
        <v>109</v>
      </c>
      <c r="J101" s="1" t="s">
        <v>106</v>
      </c>
      <c r="K101" s="1" t="s">
        <v>1593</v>
      </c>
      <c r="L101" s="1" t="s">
        <v>111</v>
      </c>
      <c r="M101" s="5" t="s">
        <v>220</v>
      </c>
      <c r="N101" s="1" t="s">
        <v>112</v>
      </c>
      <c r="O101" s="1" t="s">
        <v>113</v>
      </c>
      <c r="P101" s="1" t="s">
        <v>113</v>
      </c>
      <c r="Q101" s="1" t="s">
        <v>111</v>
      </c>
      <c r="R101" s="5" t="s">
        <v>220</v>
      </c>
      <c r="S101" s="5" t="s">
        <v>220</v>
      </c>
      <c r="T101" s="1" t="s">
        <v>106</v>
      </c>
      <c r="U101" s="1">
        <v>2011</v>
      </c>
      <c r="V101" s="1" t="s">
        <v>1428</v>
      </c>
      <c r="W101" s="1" t="s">
        <v>115</v>
      </c>
      <c r="X101" s="1" t="s">
        <v>113</v>
      </c>
      <c r="Y101" s="1" t="s">
        <v>127</v>
      </c>
      <c r="Z101" s="1">
        <v>100</v>
      </c>
      <c r="AA101" s="1" t="s">
        <v>116</v>
      </c>
      <c r="AB101" s="1" t="s">
        <v>128</v>
      </c>
      <c r="AC101" s="1" t="s">
        <v>128</v>
      </c>
      <c r="AD101" s="5" t="s">
        <v>220</v>
      </c>
      <c r="AE101" s="1" t="s">
        <v>157</v>
      </c>
      <c r="AF101" s="1">
        <v>229</v>
      </c>
      <c r="AG101" s="1" t="s">
        <v>113</v>
      </c>
      <c r="AH101" s="5" t="s">
        <v>220</v>
      </c>
      <c r="AI101" s="5" t="s">
        <v>220</v>
      </c>
      <c r="AJ101" s="5" t="s">
        <v>220</v>
      </c>
      <c r="AK101" s="1" t="s">
        <v>232</v>
      </c>
      <c r="AL101" s="5" t="s">
        <v>220</v>
      </c>
      <c r="AM101" s="1" t="s">
        <v>590</v>
      </c>
      <c r="AN101" s="5" t="s">
        <v>220</v>
      </c>
      <c r="AO101" s="1" t="s">
        <v>113</v>
      </c>
      <c r="AP101" s="1" t="s">
        <v>113</v>
      </c>
      <c r="AQ101" s="5" t="s">
        <v>220</v>
      </c>
      <c r="AR101" s="1" t="s">
        <v>157</v>
      </c>
      <c r="AS101" s="1" t="s">
        <v>157</v>
      </c>
      <c r="AT101" s="1" t="s">
        <v>123</v>
      </c>
      <c r="AU101" s="1" t="s">
        <v>113</v>
      </c>
      <c r="AV101" s="1" t="s">
        <v>113</v>
      </c>
      <c r="AW101" s="1" t="s">
        <v>164</v>
      </c>
      <c r="AX101" s="1" t="s">
        <v>1594</v>
      </c>
      <c r="AY101" s="5" t="s">
        <v>220</v>
      </c>
      <c r="AZ101" s="1" t="s">
        <v>113</v>
      </c>
      <c r="BA101" s="1" t="s">
        <v>113</v>
      </c>
      <c r="BB101" s="1" t="s">
        <v>125</v>
      </c>
      <c r="BC101" s="1" t="s">
        <v>166</v>
      </c>
      <c r="BD101" s="5" t="s">
        <v>220</v>
      </c>
      <c r="BE101" s="1">
        <v>100</v>
      </c>
      <c r="BF101" s="1" t="s">
        <v>167</v>
      </c>
      <c r="BG101" s="1" t="s">
        <v>116</v>
      </c>
      <c r="BJ101" s="1" t="s">
        <v>128</v>
      </c>
      <c r="BK101" s="5" t="s">
        <v>220</v>
      </c>
      <c r="BL101" s="1" t="s">
        <v>127</v>
      </c>
      <c r="BM101" s="1" t="s">
        <v>114</v>
      </c>
      <c r="BN101" s="1" t="s">
        <v>276</v>
      </c>
      <c r="BO101" s="1" t="s">
        <v>157</v>
      </c>
      <c r="BP101" s="1" t="s">
        <v>115</v>
      </c>
      <c r="BQ101" s="1" t="s">
        <v>1593</v>
      </c>
      <c r="BR101" s="1" t="s">
        <v>1595</v>
      </c>
      <c r="BS101" s="1" t="s">
        <v>1596</v>
      </c>
      <c r="BT101" s="1" t="s">
        <v>172</v>
      </c>
      <c r="BU101" s="1" t="s">
        <v>239</v>
      </c>
      <c r="BV101" s="1" t="s">
        <v>1597</v>
      </c>
      <c r="BW101" s="1" t="s">
        <v>134</v>
      </c>
      <c r="BX101" s="1" t="s">
        <v>157</v>
      </c>
      <c r="BY101" s="1" t="s">
        <v>135</v>
      </c>
      <c r="BZ101" s="1" t="s">
        <v>157</v>
      </c>
      <c r="CA101" s="1">
        <v>229</v>
      </c>
      <c r="CB101" s="1" t="s">
        <v>244</v>
      </c>
      <c r="CC101" s="1" t="s">
        <v>177</v>
      </c>
      <c r="CF101" s="5" t="s">
        <v>220</v>
      </c>
      <c r="CG101" s="5" t="s">
        <v>220</v>
      </c>
      <c r="CH101" s="5" t="s">
        <v>220</v>
      </c>
      <c r="CI101" s="5" t="s">
        <v>220</v>
      </c>
      <c r="CJ101" s="5" t="s">
        <v>220</v>
      </c>
      <c r="CK101" s="5" t="s">
        <v>220</v>
      </c>
      <c r="CL101" s="5" t="s">
        <v>220</v>
      </c>
      <c r="CM101" s="5" t="s">
        <v>220</v>
      </c>
      <c r="CN101" s="5" t="s">
        <v>220</v>
      </c>
      <c r="CO101" s="5" t="s">
        <v>220</v>
      </c>
      <c r="CP101" s="5" t="s">
        <v>220</v>
      </c>
      <c r="CQ101" s="5" t="s">
        <v>220</v>
      </c>
      <c r="CR101" s="1" t="s">
        <v>139</v>
      </c>
      <c r="CS101" s="1" t="s">
        <v>308</v>
      </c>
      <c r="CT101" s="1" t="s">
        <v>282</v>
      </c>
      <c r="CW101" s="1" t="s">
        <v>141</v>
      </c>
      <c r="CX101" s="1" t="s">
        <v>1598</v>
      </c>
      <c r="CY101" s="1" t="s">
        <v>157</v>
      </c>
      <c r="CZ101" s="1" t="s">
        <v>144</v>
      </c>
      <c r="DA101" s="1" t="s">
        <v>145</v>
      </c>
    </row>
    <row r="102" spans="1:105" s="3" customFormat="1" ht="11.25" customHeight="1" x14ac:dyDescent="0.2">
      <c r="A102" s="1">
        <v>41</v>
      </c>
      <c r="B102" s="1" t="s">
        <v>1600</v>
      </c>
      <c r="C102" s="1" t="s">
        <v>1599</v>
      </c>
      <c r="D102" s="1">
        <v>4881</v>
      </c>
      <c r="E102" s="2" t="s">
        <v>4201</v>
      </c>
      <c r="F102" s="1" t="s">
        <v>113</v>
      </c>
      <c r="G102" s="1" t="s">
        <v>190</v>
      </c>
      <c r="H102" s="1" t="s">
        <v>230</v>
      </c>
      <c r="I102" s="1" t="s">
        <v>229</v>
      </c>
      <c r="J102" s="1" t="s">
        <v>229</v>
      </c>
      <c r="L102" s="1" t="s">
        <v>111</v>
      </c>
      <c r="M102" s="1" t="s">
        <v>230</v>
      </c>
      <c r="N102" s="1" t="s">
        <v>112</v>
      </c>
      <c r="O102" s="1" t="s">
        <v>113</v>
      </c>
      <c r="P102" s="1" t="s">
        <v>113</v>
      </c>
      <c r="Q102" s="1" t="s">
        <v>195</v>
      </c>
      <c r="R102" s="1" t="s">
        <v>1601</v>
      </c>
      <c r="S102" s="1" t="s">
        <v>127</v>
      </c>
      <c r="T102" s="1" t="s">
        <v>106</v>
      </c>
      <c r="U102" s="1" t="s">
        <v>1602</v>
      </c>
      <c r="V102" s="1" t="s">
        <v>1603</v>
      </c>
      <c r="W102" s="1" t="s">
        <v>115</v>
      </c>
      <c r="X102" s="1" t="s">
        <v>113</v>
      </c>
      <c r="Y102" s="1" t="s">
        <v>127</v>
      </c>
      <c r="Z102" s="1">
        <v>100</v>
      </c>
      <c r="AA102" s="1" t="s">
        <v>159</v>
      </c>
      <c r="AB102" s="1" t="s">
        <v>128</v>
      </c>
      <c r="AC102" s="1" t="s">
        <v>118</v>
      </c>
      <c r="AD102" s="1">
        <v>40</v>
      </c>
      <c r="AE102" s="1" t="s">
        <v>159</v>
      </c>
      <c r="AF102" s="1">
        <v>294</v>
      </c>
      <c r="AG102" s="1" t="s">
        <v>106</v>
      </c>
      <c r="AH102" s="1">
        <v>51</v>
      </c>
      <c r="AI102" s="1">
        <v>37</v>
      </c>
      <c r="AJ102" s="1">
        <v>12</v>
      </c>
      <c r="AK102" s="1" t="s">
        <v>119</v>
      </c>
      <c r="AL102" s="1">
        <v>0</v>
      </c>
      <c r="AM102" s="1" t="s">
        <v>1604</v>
      </c>
      <c r="AO102" s="1" t="s">
        <v>113</v>
      </c>
      <c r="AP102" s="1" t="s">
        <v>113</v>
      </c>
      <c r="AQ102" s="1" t="s">
        <v>127</v>
      </c>
      <c r="AR102" s="1" t="s">
        <v>127</v>
      </c>
      <c r="AS102" s="1" t="s">
        <v>127</v>
      </c>
      <c r="AT102" s="1" t="s">
        <v>628</v>
      </c>
      <c r="AU102" s="1" t="s">
        <v>113</v>
      </c>
      <c r="AV102" s="1" t="s">
        <v>113</v>
      </c>
      <c r="AW102" s="1" t="s">
        <v>164</v>
      </c>
      <c r="AX102" s="1" t="s">
        <v>165</v>
      </c>
      <c r="AY102" s="1">
        <v>20</v>
      </c>
      <c r="AZ102" s="1" t="s">
        <v>113</v>
      </c>
      <c r="BA102" s="1" t="s">
        <v>113</v>
      </c>
      <c r="BB102" s="1" t="s">
        <v>125</v>
      </c>
      <c r="BC102" s="1" t="s">
        <v>166</v>
      </c>
      <c r="BD102" s="1">
        <v>149</v>
      </c>
      <c r="BE102" s="1">
        <v>100</v>
      </c>
      <c r="BF102" s="1" t="s">
        <v>167</v>
      </c>
      <c r="BG102" s="1" t="s">
        <v>780</v>
      </c>
      <c r="BH102" s="1" t="s">
        <v>1605</v>
      </c>
      <c r="BI102" s="1" t="s">
        <v>1605</v>
      </c>
      <c r="BJ102" s="1" t="s">
        <v>208</v>
      </c>
      <c r="BK102" s="1">
        <v>40</v>
      </c>
      <c r="BL102" s="1" t="s">
        <v>294</v>
      </c>
      <c r="BM102" s="1" t="s">
        <v>210</v>
      </c>
      <c r="BN102" s="1" t="s">
        <v>143</v>
      </c>
      <c r="BP102" s="1" t="s">
        <v>115</v>
      </c>
      <c r="BQ102" s="1" t="s">
        <v>1606</v>
      </c>
      <c r="BR102" s="1" t="s">
        <v>1607</v>
      </c>
      <c r="BS102" s="1" t="s">
        <v>1608</v>
      </c>
      <c r="BT102" s="1" t="s">
        <v>172</v>
      </c>
      <c r="BU102" s="1" t="s">
        <v>132</v>
      </c>
      <c r="BV102" s="1" t="s">
        <v>987</v>
      </c>
      <c r="BW102" s="1" t="s">
        <v>134</v>
      </c>
      <c r="BX102" s="1" t="s">
        <v>137</v>
      </c>
      <c r="BY102" s="1" t="s">
        <v>135</v>
      </c>
      <c r="BZ102" s="1" t="s">
        <v>1609</v>
      </c>
      <c r="CA102" s="1">
        <v>294</v>
      </c>
      <c r="CB102" s="1" t="s">
        <v>176</v>
      </c>
      <c r="CC102" s="1" t="s">
        <v>301</v>
      </c>
      <c r="CD102" s="1" t="s">
        <v>1610</v>
      </c>
      <c r="CE102" s="1" t="s">
        <v>179</v>
      </c>
      <c r="CF102" s="1">
        <v>146475.57999999999</v>
      </c>
      <c r="CG102" s="1">
        <v>550000</v>
      </c>
      <c r="CH102" s="1">
        <v>935.37</v>
      </c>
      <c r="CI102" s="1">
        <v>0</v>
      </c>
      <c r="CJ102" s="1">
        <v>935.37</v>
      </c>
      <c r="CK102" s="1">
        <v>1074</v>
      </c>
      <c r="CL102" s="5" t="s">
        <v>220</v>
      </c>
      <c r="CM102" s="1">
        <v>0</v>
      </c>
      <c r="CN102" s="1">
        <v>0</v>
      </c>
      <c r="CO102" s="1">
        <v>0</v>
      </c>
      <c r="CP102" s="1">
        <v>0</v>
      </c>
      <c r="CQ102" s="1">
        <v>0</v>
      </c>
      <c r="CR102" s="1" t="s">
        <v>139</v>
      </c>
      <c r="CS102" s="1" t="s">
        <v>140</v>
      </c>
      <c r="CT102" s="1" t="s">
        <v>394</v>
      </c>
      <c r="CV102" s="1" t="s">
        <v>1611</v>
      </c>
      <c r="CW102" s="1" t="s">
        <v>420</v>
      </c>
      <c r="CX102" s="1" t="s">
        <v>1612</v>
      </c>
      <c r="CY102" s="1" t="s">
        <v>1613</v>
      </c>
      <c r="CZ102" s="1" t="s">
        <v>144</v>
      </c>
      <c r="DA102" s="1" t="s">
        <v>145</v>
      </c>
    </row>
    <row r="103" spans="1:105" s="3" customFormat="1" ht="11.25" customHeight="1" x14ac:dyDescent="0.2">
      <c r="A103" s="1">
        <v>41</v>
      </c>
      <c r="B103" s="1" t="s">
        <v>1615</v>
      </c>
      <c r="C103" s="1" t="s">
        <v>1614</v>
      </c>
      <c r="D103" s="1">
        <v>3023</v>
      </c>
      <c r="E103" s="2" t="s">
        <v>4201</v>
      </c>
      <c r="F103" s="1" t="s">
        <v>113</v>
      </c>
      <c r="G103" s="1"/>
      <c r="H103" s="1">
        <v>0</v>
      </c>
      <c r="I103" s="1" t="s">
        <v>229</v>
      </c>
      <c r="J103" s="1" t="s">
        <v>229</v>
      </c>
      <c r="K103" s="1"/>
      <c r="L103" s="1" t="s">
        <v>149</v>
      </c>
      <c r="M103" s="1" t="s">
        <v>1616</v>
      </c>
      <c r="N103" s="1" t="s">
        <v>506</v>
      </c>
      <c r="O103" s="1" t="s">
        <v>113</v>
      </c>
      <c r="P103" s="1" t="s">
        <v>113</v>
      </c>
      <c r="Q103" s="1" t="s">
        <v>195</v>
      </c>
      <c r="R103" s="1" t="s">
        <v>1617</v>
      </c>
      <c r="S103" s="1" t="s">
        <v>127</v>
      </c>
      <c r="T103" s="1" t="s">
        <v>106</v>
      </c>
      <c r="U103" s="1" t="s">
        <v>1618</v>
      </c>
      <c r="V103" s="1"/>
      <c r="W103" s="1" t="s">
        <v>199</v>
      </c>
      <c r="X103" s="1"/>
      <c r="Y103" s="1"/>
      <c r="Z103" s="1">
        <v>100</v>
      </c>
      <c r="AA103" s="1" t="s">
        <v>116</v>
      </c>
      <c r="AB103" s="1" t="s">
        <v>128</v>
      </c>
      <c r="AC103" s="1" t="s">
        <v>118</v>
      </c>
      <c r="AD103" s="1">
        <v>15</v>
      </c>
      <c r="AE103" s="1" t="s">
        <v>116</v>
      </c>
      <c r="AF103" s="1">
        <v>305</v>
      </c>
      <c r="AG103" s="1" t="s">
        <v>113</v>
      </c>
      <c r="AH103" s="1">
        <v>0</v>
      </c>
      <c r="AI103" s="1"/>
      <c r="AJ103" s="1"/>
      <c r="AK103" s="1" t="s">
        <v>449</v>
      </c>
      <c r="AL103" s="1">
        <v>588</v>
      </c>
      <c r="AM103" s="1" t="s">
        <v>120</v>
      </c>
      <c r="AN103" s="1"/>
      <c r="AO103" s="1"/>
      <c r="AP103" s="1" t="s">
        <v>106</v>
      </c>
      <c r="AQ103" s="1" t="s">
        <v>1619</v>
      </c>
      <c r="AR103" s="1" t="s">
        <v>1620</v>
      </c>
      <c r="AS103" s="1" t="s">
        <v>1621</v>
      </c>
      <c r="AT103" s="1" t="s">
        <v>344</v>
      </c>
      <c r="AU103" s="1" t="s">
        <v>106</v>
      </c>
      <c r="AV103" s="1" t="s">
        <v>113</v>
      </c>
      <c r="AW103" s="1" t="s">
        <v>234</v>
      </c>
      <c r="AX103" s="1" t="s">
        <v>1073</v>
      </c>
      <c r="AY103" s="1">
        <v>295</v>
      </c>
      <c r="AZ103" s="1" t="s">
        <v>113</v>
      </c>
      <c r="BA103" s="1" t="s">
        <v>113</v>
      </c>
      <c r="BB103" s="1" t="s">
        <v>125</v>
      </c>
      <c r="BC103" s="1" t="s">
        <v>1622</v>
      </c>
      <c r="BD103" s="1">
        <v>1</v>
      </c>
      <c r="BE103" s="1">
        <v>100</v>
      </c>
      <c r="BF103" s="1" t="s">
        <v>167</v>
      </c>
      <c r="BG103" s="1" t="s">
        <v>383</v>
      </c>
      <c r="BH103" s="1" t="s">
        <v>269</v>
      </c>
      <c r="BI103" s="1"/>
      <c r="BJ103" s="1" t="s">
        <v>208</v>
      </c>
      <c r="BK103" s="1">
        <v>80</v>
      </c>
      <c r="BL103" s="1" t="s">
        <v>294</v>
      </c>
      <c r="BM103" s="1"/>
      <c r="BN103" s="1">
        <v>8</v>
      </c>
      <c r="BO103" s="1"/>
      <c r="BP103" s="1" t="s">
        <v>115</v>
      </c>
      <c r="BQ103" s="1" t="s">
        <v>1623</v>
      </c>
      <c r="BR103" s="1" t="s">
        <v>1624</v>
      </c>
      <c r="BS103" s="1" t="s">
        <v>1625</v>
      </c>
      <c r="BT103" s="1" t="s">
        <v>172</v>
      </c>
      <c r="BU103" s="1" t="s">
        <v>132</v>
      </c>
      <c r="BV103" s="1" t="s">
        <v>174</v>
      </c>
      <c r="BW103" s="1" t="s">
        <v>134</v>
      </c>
      <c r="BX103" s="1" t="s">
        <v>325</v>
      </c>
      <c r="BY103" s="1" t="s">
        <v>299</v>
      </c>
      <c r="BZ103" s="1" t="s">
        <v>1626</v>
      </c>
      <c r="CA103" s="1">
        <v>305</v>
      </c>
      <c r="CB103" s="1" t="s">
        <v>244</v>
      </c>
      <c r="CC103" s="1" t="s">
        <v>217</v>
      </c>
      <c r="CD103" s="1"/>
      <c r="CE103" s="1"/>
      <c r="CF103" s="1">
        <v>34726</v>
      </c>
      <c r="CG103" s="1">
        <v>471724</v>
      </c>
      <c r="CH103" s="1">
        <v>205528</v>
      </c>
      <c r="CI103" s="1">
        <v>30000</v>
      </c>
      <c r="CJ103" s="1">
        <v>105778</v>
      </c>
      <c r="CK103" s="1">
        <v>77000</v>
      </c>
      <c r="CL103" s="1">
        <v>77000</v>
      </c>
      <c r="CM103" s="1">
        <v>105778</v>
      </c>
      <c r="CN103" s="1">
        <v>266196</v>
      </c>
      <c r="CO103" s="1">
        <v>0</v>
      </c>
      <c r="CP103" s="1">
        <v>0</v>
      </c>
      <c r="CQ103" s="1">
        <v>0</v>
      </c>
      <c r="CR103" s="1" t="s">
        <v>139</v>
      </c>
      <c r="CS103" s="1" t="s">
        <v>140</v>
      </c>
      <c r="CT103" s="1" t="s">
        <v>573</v>
      </c>
      <c r="CU103" s="1"/>
      <c r="CV103" s="1"/>
      <c r="CW103" s="1" t="s">
        <v>251</v>
      </c>
      <c r="CX103" s="1" t="s">
        <v>157</v>
      </c>
      <c r="CY103" s="1" t="s">
        <v>276</v>
      </c>
      <c r="CZ103" s="1" t="s">
        <v>144</v>
      </c>
      <c r="DA103" s="1" t="s">
        <v>145</v>
      </c>
    </row>
    <row r="104" spans="1:105" s="3" customFormat="1" ht="11.25" customHeight="1" x14ac:dyDescent="0.2">
      <c r="A104" s="1">
        <v>41</v>
      </c>
      <c r="B104" s="1" t="s">
        <v>1628</v>
      </c>
      <c r="C104" s="1" t="s">
        <v>1627</v>
      </c>
      <c r="D104" s="1">
        <v>16618</v>
      </c>
      <c r="E104" s="2" t="s">
        <v>4201</v>
      </c>
      <c r="F104" s="1" t="s">
        <v>113</v>
      </c>
      <c r="G104" s="1" t="s">
        <v>190</v>
      </c>
      <c r="H104" s="1" t="s">
        <v>1146</v>
      </c>
      <c r="I104" s="1" t="s">
        <v>229</v>
      </c>
      <c r="J104" s="1" t="s">
        <v>229</v>
      </c>
      <c r="L104" s="1" t="s">
        <v>111</v>
      </c>
      <c r="M104" s="1" t="s">
        <v>1629</v>
      </c>
      <c r="N104" s="1" t="s">
        <v>151</v>
      </c>
      <c r="O104" s="1" t="s">
        <v>106</v>
      </c>
      <c r="P104" s="1" t="s">
        <v>113</v>
      </c>
      <c r="Q104" s="1" t="s">
        <v>152</v>
      </c>
      <c r="R104" s="1" t="s">
        <v>127</v>
      </c>
      <c r="S104" s="1" t="s">
        <v>1630</v>
      </c>
      <c r="T104" s="1" t="s">
        <v>106</v>
      </c>
      <c r="U104" s="1" t="s">
        <v>1631</v>
      </c>
      <c r="V104" s="1" t="s">
        <v>1632</v>
      </c>
      <c r="W104" s="1" t="s">
        <v>115</v>
      </c>
      <c r="X104" s="1" t="s">
        <v>113</v>
      </c>
      <c r="Y104" s="1" t="s">
        <v>127</v>
      </c>
      <c r="Z104" s="1">
        <v>100</v>
      </c>
      <c r="AA104" s="1" t="s">
        <v>132</v>
      </c>
      <c r="AB104" s="1" t="s">
        <v>128</v>
      </c>
      <c r="AC104" s="1" t="s">
        <v>118</v>
      </c>
      <c r="AD104" s="1">
        <v>25</v>
      </c>
      <c r="AE104" s="1" t="s">
        <v>132</v>
      </c>
      <c r="AF104" s="1">
        <v>5400</v>
      </c>
      <c r="AG104" s="1" t="s">
        <v>113</v>
      </c>
      <c r="AH104" s="1">
        <v>0</v>
      </c>
      <c r="AI104" s="1">
        <v>0</v>
      </c>
      <c r="AJ104" s="1">
        <v>0</v>
      </c>
      <c r="AK104" s="1" t="s">
        <v>232</v>
      </c>
      <c r="AL104" s="1">
        <v>0</v>
      </c>
      <c r="AM104" s="1" t="s">
        <v>363</v>
      </c>
      <c r="AN104" s="1">
        <v>0</v>
      </c>
      <c r="AO104" s="1" t="s">
        <v>113</v>
      </c>
      <c r="AP104" s="1" t="s">
        <v>113</v>
      </c>
      <c r="AQ104" s="1" t="s">
        <v>127</v>
      </c>
      <c r="AR104" s="1" t="s">
        <v>127</v>
      </c>
      <c r="AS104" s="1" t="s">
        <v>127</v>
      </c>
      <c r="AT104" s="1" t="s">
        <v>123</v>
      </c>
      <c r="AU104" s="1" t="s">
        <v>113</v>
      </c>
      <c r="AV104" s="1" t="s">
        <v>113</v>
      </c>
      <c r="AW104" s="1" t="s">
        <v>164</v>
      </c>
      <c r="AX104" s="1" t="s">
        <v>165</v>
      </c>
      <c r="AY104" s="1">
        <v>0</v>
      </c>
      <c r="AZ104" s="1" t="s">
        <v>113</v>
      </c>
      <c r="BA104" s="1" t="s">
        <v>113</v>
      </c>
      <c r="BB104" s="1" t="s">
        <v>125</v>
      </c>
      <c r="BC104" s="1" t="s">
        <v>166</v>
      </c>
      <c r="BD104" s="1">
        <v>0</v>
      </c>
      <c r="BE104" s="1">
        <v>100</v>
      </c>
      <c r="BF104" s="1" t="s">
        <v>167</v>
      </c>
      <c r="BG104" s="1" t="s">
        <v>116</v>
      </c>
      <c r="BH104" s="1" t="s">
        <v>168</v>
      </c>
      <c r="BI104" s="1" t="s">
        <v>207</v>
      </c>
      <c r="BJ104" s="1" t="s">
        <v>208</v>
      </c>
      <c r="BK104" s="1">
        <v>15</v>
      </c>
      <c r="BL104" s="1" t="s">
        <v>167</v>
      </c>
      <c r="BM104" s="1" t="s">
        <v>210</v>
      </c>
      <c r="BN104" s="1" t="s">
        <v>143</v>
      </c>
      <c r="BP104" s="1" t="s">
        <v>363</v>
      </c>
      <c r="BQ104" s="1">
        <v>0</v>
      </c>
      <c r="BR104" s="1" t="s">
        <v>1633</v>
      </c>
      <c r="BS104" s="1" t="s">
        <v>1634</v>
      </c>
      <c r="BT104" s="1" t="s">
        <v>1635</v>
      </c>
      <c r="BU104" s="1" t="s">
        <v>239</v>
      </c>
      <c r="BV104" s="1" t="s">
        <v>435</v>
      </c>
      <c r="BW104" s="1" t="s">
        <v>134</v>
      </c>
      <c r="BX104" s="1" t="s">
        <v>325</v>
      </c>
      <c r="BY104" s="1" t="s">
        <v>299</v>
      </c>
      <c r="BZ104" s="1" t="s">
        <v>127</v>
      </c>
      <c r="CA104" s="1">
        <v>5400</v>
      </c>
      <c r="CB104" s="1" t="s">
        <v>176</v>
      </c>
      <c r="CC104" s="1" t="s">
        <v>301</v>
      </c>
      <c r="CE104" s="1" t="s">
        <v>219</v>
      </c>
      <c r="CF104" s="1">
        <v>0</v>
      </c>
      <c r="CG104" s="1">
        <v>800000</v>
      </c>
      <c r="CH104" s="1">
        <v>0</v>
      </c>
      <c r="CI104" s="1">
        <v>0</v>
      </c>
      <c r="CJ104" s="1">
        <v>0</v>
      </c>
      <c r="CK104" s="1">
        <v>0</v>
      </c>
      <c r="CL104" s="1">
        <v>0</v>
      </c>
      <c r="CM104" s="1">
        <v>0</v>
      </c>
      <c r="CN104" s="1">
        <v>0</v>
      </c>
      <c r="CO104" s="1">
        <v>0</v>
      </c>
      <c r="CP104" s="1">
        <v>0</v>
      </c>
      <c r="CQ104" s="1">
        <v>0</v>
      </c>
      <c r="CR104" s="1" t="s">
        <v>139</v>
      </c>
      <c r="CS104" s="1" t="s">
        <v>140</v>
      </c>
      <c r="CT104" s="1" t="s">
        <v>1636</v>
      </c>
      <c r="CW104" s="1" t="s">
        <v>141</v>
      </c>
      <c r="CX104" s="1" t="s">
        <v>1633</v>
      </c>
      <c r="CY104" s="1" t="s">
        <v>143</v>
      </c>
      <c r="CZ104" s="1" t="s">
        <v>144</v>
      </c>
      <c r="DA104" s="1" t="s">
        <v>145</v>
      </c>
    </row>
    <row r="105" spans="1:105" s="3" customFormat="1" ht="11.25" customHeight="1" x14ac:dyDescent="0.2">
      <c r="A105" s="1">
        <v>41</v>
      </c>
      <c r="B105" s="1" t="s">
        <v>1637</v>
      </c>
      <c r="C105" s="1" t="s">
        <v>110</v>
      </c>
      <c r="D105" s="1">
        <v>161506</v>
      </c>
      <c r="E105" s="2" t="s">
        <v>4201</v>
      </c>
      <c r="F105" s="1" t="s">
        <v>106</v>
      </c>
      <c r="G105" s="1" t="s">
        <v>107</v>
      </c>
      <c r="H105" s="1" t="s">
        <v>108</v>
      </c>
      <c r="I105" s="1" t="s">
        <v>109</v>
      </c>
      <c r="J105" s="1" t="s">
        <v>106</v>
      </c>
      <c r="K105" s="1" t="s">
        <v>110</v>
      </c>
      <c r="L105" s="1" t="s">
        <v>401</v>
      </c>
      <c r="M105" s="1" t="s">
        <v>1638</v>
      </c>
      <c r="N105" s="1" t="s">
        <v>1639</v>
      </c>
      <c r="O105" s="1" t="s">
        <v>113</v>
      </c>
      <c r="P105" s="1" t="s">
        <v>113</v>
      </c>
      <c r="Q105" s="1" t="s">
        <v>195</v>
      </c>
      <c r="R105" s="1" t="s">
        <v>1640</v>
      </c>
      <c r="S105" s="1" t="s">
        <v>114</v>
      </c>
      <c r="T105" s="1" t="s">
        <v>106</v>
      </c>
      <c r="U105" s="1" t="s">
        <v>1641</v>
      </c>
      <c r="V105" s="1" t="s">
        <v>1642</v>
      </c>
      <c r="W105" s="1" t="s">
        <v>115</v>
      </c>
      <c r="X105" s="1" t="s">
        <v>113</v>
      </c>
      <c r="Y105" s="1" t="s">
        <v>114</v>
      </c>
      <c r="Z105" s="1">
        <v>100</v>
      </c>
      <c r="AA105" s="1" t="s">
        <v>132</v>
      </c>
      <c r="AB105" s="1" t="s">
        <v>128</v>
      </c>
      <c r="AC105" s="1" t="s">
        <v>384</v>
      </c>
      <c r="AD105" s="1">
        <v>100</v>
      </c>
      <c r="AE105" s="1" t="s">
        <v>132</v>
      </c>
      <c r="AF105" s="1">
        <v>31073</v>
      </c>
      <c r="AG105" s="1" t="s">
        <v>113</v>
      </c>
      <c r="AH105" s="1">
        <v>95</v>
      </c>
      <c r="AI105" s="1">
        <v>5</v>
      </c>
      <c r="AJ105" s="1">
        <v>0</v>
      </c>
      <c r="AK105" s="1" t="s">
        <v>200</v>
      </c>
      <c r="AM105" s="1" t="s">
        <v>1302</v>
      </c>
      <c r="AO105" s="1" t="s">
        <v>106</v>
      </c>
      <c r="AP105" s="1" t="s">
        <v>113</v>
      </c>
      <c r="AQ105" s="1" t="s">
        <v>114</v>
      </c>
      <c r="AR105" s="1" t="s">
        <v>114</v>
      </c>
      <c r="AS105" s="1" t="s">
        <v>114</v>
      </c>
      <c r="AT105" s="1" t="s">
        <v>123</v>
      </c>
      <c r="AU105" s="1" t="s">
        <v>106</v>
      </c>
      <c r="AV105" s="1" t="s">
        <v>113</v>
      </c>
      <c r="AW105" s="1" t="s">
        <v>164</v>
      </c>
      <c r="AY105" s="1">
        <v>10830</v>
      </c>
      <c r="AZ105" s="1" t="s">
        <v>113</v>
      </c>
      <c r="BA105" s="1" t="s">
        <v>113</v>
      </c>
      <c r="BB105" s="1" t="s">
        <v>125</v>
      </c>
      <c r="BD105" s="1">
        <v>0</v>
      </c>
      <c r="BE105" s="1">
        <v>100</v>
      </c>
      <c r="BF105" s="1" t="s">
        <v>167</v>
      </c>
      <c r="BG105" s="1" t="s">
        <v>132</v>
      </c>
      <c r="BH105" s="1" t="s">
        <v>168</v>
      </c>
      <c r="BI105" s="1" t="s">
        <v>169</v>
      </c>
      <c r="BJ105" s="1" t="s">
        <v>384</v>
      </c>
      <c r="BK105" s="1">
        <v>100</v>
      </c>
      <c r="BL105" s="1" t="s">
        <v>270</v>
      </c>
      <c r="BM105" s="1" t="s">
        <v>472</v>
      </c>
      <c r="BN105" s="1">
        <v>17</v>
      </c>
      <c r="BO105" s="1">
        <v>1</v>
      </c>
      <c r="BP105" s="1" t="s">
        <v>124</v>
      </c>
      <c r="BQ105" s="1" t="s">
        <v>110</v>
      </c>
      <c r="BR105" s="1" t="s">
        <v>1643</v>
      </c>
      <c r="BS105" s="1" t="s">
        <v>1644</v>
      </c>
      <c r="BT105" s="1" t="s">
        <v>172</v>
      </c>
      <c r="BU105" s="1" t="s">
        <v>632</v>
      </c>
      <c r="BV105" s="1" t="s">
        <v>174</v>
      </c>
      <c r="BW105" s="1" t="s">
        <v>134</v>
      </c>
      <c r="BX105" s="1" t="s">
        <v>325</v>
      </c>
      <c r="BY105" s="1" t="s">
        <v>135</v>
      </c>
      <c r="BZ105" s="1" t="s">
        <v>1645</v>
      </c>
      <c r="CA105" s="1">
        <v>31073</v>
      </c>
      <c r="CB105" s="1" t="s">
        <v>176</v>
      </c>
      <c r="CC105" s="1" t="s">
        <v>301</v>
      </c>
      <c r="CD105" s="1" t="s">
        <v>1646</v>
      </c>
      <c r="CE105" s="1" t="s">
        <v>179</v>
      </c>
      <c r="CF105" s="1">
        <v>14609263.189999999</v>
      </c>
      <c r="CG105" s="1">
        <v>11690936.24</v>
      </c>
      <c r="CH105" s="1">
        <v>226.28</v>
      </c>
      <c r="CI105" s="1">
        <v>0</v>
      </c>
      <c r="CJ105" s="1">
        <v>147379.24</v>
      </c>
      <c r="CK105" s="1">
        <v>1028.1400000000001</v>
      </c>
      <c r="CL105" s="1">
        <v>0</v>
      </c>
      <c r="CM105" s="1">
        <v>0</v>
      </c>
      <c r="CN105" s="1">
        <v>0</v>
      </c>
      <c r="CO105" s="1">
        <v>0</v>
      </c>
      <c r="CP105" s="1">
        <v>0</v>
      </c>
      <c r="CQ105" s="1">
        <v>0</v>
      </c>
      <c r="CR105" s="1" t="s">
        <v>139</v>
      </c>
      <c r="CS105" s="1" t="s">
        <v>140</v>
      </c>
      <c r="CT105" s="1" t="s">
        <v>1647</v>
      </c>
      <c r="CW105" s="1" t="s">
        <v>251</v>
      </c>
      <c r="CX105" s="1" t="s">
        <v>114</v>
      </c>
      <c r="CY105" s="1" t="s">
        <v>143</v>
      </c>
      <c r="CZ105" s="1" t="s">
        <v>144</v>
      </c>
      <c r="DA105" s="1" t="s">
        <v>145</v>
      </c>
    </row>
    <row r="106" spans="1:105" s="3" customFormat="1" ht="11.25" customHeight="1" x14ac:dyDescent="0.2">
      <c r="A106" s="1">
        <v>41</v>
      </c>
      <c r="B106" s="1" t="s">
        <v>1648</v>
      </c>
      <c r="C106" s="1" t="s">
        <v>1649</v>
      </c>
      <c r="D106" s="1">
        <v>5164</v>
      </c>
      <c r="E106" s="2" t="s">
        <v>1688</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V106" s="1"/>
      <c r="CW106" s="1"/>
      <c r="CX106" s="1"/>
      <c r="CY106" s="1"/>
      <c r="CZ106" s="1"/>
      <c r="DA106" s="1"/>
    </row>
    <row r="107" spans="1:105" s="3" customFormat="1" ht="11.25" customHeight="1" x14ac:dyDescent="0.2">
      <c r="A107" s="1">
        <v>41</v>
      </c>
      <c r="B107" s="1" t="s">
        <v>1651</v>
      </c>
      <c r="C107" s="1" t="s">
        <v>1650</v>
      </c>
      <c r="D107" s="1">
        <v>4512</v>
      </c>
      <c r="E107" s="2" t="s">
        <v>4201</v>
      </c>
      <c r="F107" s="1" t="s">
        <v>113</v>
      </c>
      <c r="H107" s="1" t="s">
        <v>1652</v>
      </c>
      <c r="I107" s="1" t="s">
        <v>229</v>
      </c>
      <c r="J107" s="1" t="s">
        <v>229</v>
      </c>
      <c r="L107" s="1" t="s">
        <v>111</v>
      </c>
      <c r="M107" s="1" t="s">
        <v>230</v>
      </c>
      <c r="N107" s="1" t="s">
        <v>112</v>
      </c>
      <c r="O107" s="1" t="s">
        <v>113</v>
      </c>
      <c r="P107" s="1" t="s">
        <v>113</v>
      </c>
      <c r="Q107" s="1" t="s">
        <v>195</v>
      </c>
      <c r="R107" s="1" t="s">
        <v>1653</v>
      </c>
      <c r="S107" s="1" t="s">
        <v>127</v>
      </c>
      <c r="T107" s="1" t="s">
        <v>106</v>
      </c>
      <c r="U107" s="1" t="s">
        <v>127</v>
      </c>
      <c r="V107" s="1" t="s">
        <v>1654</v>
      </c>
      <c r="W107" s="1" t="s">
        <v>115</v>
      </c>
      <c r="X107" s="1" t="s">
        <v>113</v>
      </c>
      <c r="Y107" s="1" t="s">
        <v>127</v>
      </c>
      <c r="Z107" s="1">
        <v>100</v>
      </c>
      <c r="AA107" s="1" t="s">
        <v>116</v>
      </c>
      <c r="AB107" s="1" t="s">
        <v>128</v>
      </c>
      <c r="AC107" s="1" t="s">
        <v>128</v>
      </c>
      <c r="AD107" s="1">
        <v>0</v>
      </c>
      <c r="AE107" s="1" t="s">
        <v>116</v>
      </c>
      <c r="AF107" s="1">
        <v>864</v>
      </c>
      <c r="AG107" s="1" t="s">
        <v>106</v>
      </c>
      <c r="AH107" s="1">
        <v>50</v>
      </c>
      <c r="AI107" s="1">
        <v>28</v>
      </c>
      <c r="AJ107" s="1">
        <v>74</v>
      </c>
      <c r="AK107" s="1" t="s">
        <v>232</v>
      </c>
      <c r="AL107" s="1">
        <v>436</v>
      </c>
      <c r="AM107" s="1" t="s">
        <v>1655</v>
      </c>
      <c r="AN107" s="1">
        <v>100</v>
      </c>
      <c r="AO107" s="1" t="s">
        <v>113</v>
      </c>
      <c r="AP107" s="1" t="s">
        <v>113</v>
      </c>
      <c r="AQ107" s="1" t="s">
        <v>127</v>
      </c>
      <c r="AR107" s="1" t="s">
        <v>127</v>
      </c>
      <c r="AS107" s="1" t="s">
        <v>127</v>
      </c>
      <c r="AT107" s="1" t="s">
        <v>123</v>
      </c>
      <c r="AU107" s="1" t="s">
        <v>113</v>
      </c>
      <c r="AV107" s="1" t="s">
        <v>113</v>
      </c>
      <c r="AW107" s="1" t="s">
        <v>1568</v>
      </c>
      <c r="AX107" s="1" t="s">
        <v>206</v>
      </c>
      <c r="AY107" s="1">
        <v>0</v>
      </c>
      <c r="AZ107" s="1" t="s">
        <v>113</v>
      </c>
      <c r="BA107" s="1" t="s">
        <v>113</v>
      </c>
      <c r="BB107" s="1" t="s">
        <v>125</v>
      </c>
      <c r="BC107" s="1" t="s">
        <v>166</v>
      </c>
      <c r="BD107" s="1">
        <v>0</v>
      </c>
      <c r="BE107" s="1">
        <v>100</v>
      </c>
      <c r="BF107" s="1" t="s">
        <v>167</v>
      </c>
      <c r="BG107" s="1" t="s">
        <v>116</v>
      </c>
      <c r="BH107" s="1" t="s">
        <v>168</v>
      </c>
      <c r="BI107" s="1" t="s">
        <v>207</v>
      </c>
      <c r="BJ107" s="1" t="s">
        <v>128</v>
      </c>
      <c r="BK107" s="1">
        <v>0</v>
      </c>
      <c r="BL107" s="1" t="s">
        <v>1656</v>
      </c>
      <c r="BM107" s="1" t="s">
        <v>114</v>
      </c>
      <c r="BN107" s="1" t="s">
        <v>143</v>
      </c>
      <c r="BO107" s="5" t="s">
        <v>1657</v>
      </c>
      <c r="BP107" s="1" t="s">
        <v>124</v>
      </c>
      <c r="BQ107" s="1" t="s">
        <v>1658</v>
      </c>
      <c r="BR107" s="1" t="s">
        <v>1659</v>
      </c>
      <c r="BS107" s="1" t="s">
        <v>1660</v>
      </c>
      <c r="BT107" s="1" t="s">
        <v>172</v>
      </c>
      <c r="BU107" s="1" t="s">
        <v>239</v>
      </c>
      <c r="BV107" s="1" t="s">
        <v>1433</v>
      </c>
      <c r="BW107" s="1" t="s">
        <v>134</v>
      </c>
      <c r="BX107" s="1" t="s">
        <v>325</v>
      </c>
      <c r="BY107" s="1" t="s">
        <v>135</v>
      </c>
      <c r="BZ107" s="1" t="s">
        <v>242</v>
      </c>
      <c r="CA107" s="1">
        <v>655</v>
      </c>
      <c r="CB107" s="1" t="s">
        <v>244</v>
      </c>
      <c r="CC107" s="1" t="s">
        <v>177</v>
      </c>
      <c r="CD107" s="1" t="s">
        <v>1661</v>
      </c>
      <c r="CE107" s="1" t="s">
        <v>219</v>
      </c>
      <c r="CF107" s="1">
        <v>19591051</v>
      </c>
      <c r="CG107" s="1">
        <v>0</v>
      </c>
      <c r="CH107" s="1">
        <v>0</v>
      </c>
      <c r="CI107" s="1">
        <v>0</v>
      </c>
      <c r="CJ107" s="1">
        <v>0</v>
      </c>
      <c r="CK107" s="1">
        <v>0</v>
      </c>
      <c r="CL107" s="1">
        <v>0</v>
      </c>
      <c r="CM107" s="1">
        <v>0</v>
      </c>
      <c r="CN107" s="1">
        <v>0</v>
      </c>
      <c r="CO107" s="1">
        <v>0</v>
      </c>
      <c r="CP107" s="1">
        <v>0</v>
      </c>
      <c r="CQ107" s="1">
        <v>0</v>
      </c>
      <c r="CR107" s="1" t="s">
        <v>139</v>
      </c>
      <c r="CS107" s="1" t="s">
        <v>140</v>
      </c>
      <c r="CT107" s="1" t="s">
        <v>248</v>
      </c>
      <c r="CW107" s="1" t="s">
        <v>251</v>
      </c>
      <c r="CX107" s="1" t="s">
        <v>127</v>
      </c>
      <c r="CY107" s="1" t="s">
        <v>127</v>
      </c>
      <c r="CZ107" s="1" t="s">
        <v>144</v>
      </c>
      <c r="DA107" s="1" t="s">
        <v>145</v>
      </c>
    </row>
    <row r="108" spans="1:105" s="3" customFormat="1" ht="11.25" customHeight="1" x14ac:dyDescent="0.2">
      <c r="A108" s="1">
        <v>41</v>
      </c>
      <c r="B108" s="1" t="s">
        <v>1663</v>
      </c>
      <c r="C108" s="1" t="s">
        <v>1662</v>
      </c>
      <c r="D108" s="1">
        <v>8144</v>
      </c>
      <c r="E108" s="2" t="s">
        <v>4201</v>
      </c>
      <c r="F108" s="1" t="s">
        <v>106</v>
      </c>
      <c r="G108" s="1" t="s">
        <v>1664</v>
      </c>
      <c r="H108" s="1" t="s">
        <v>1665</v>
      </c>
      <c r="I108" s="1" t="s">
        <v>109</v>
      </c>
      <c r="J108" s="1" t="s">
        <v>106</v>
      </c>
      <c r="K108" s="1" t="s">
        <v>1665</v>
      </c>
      <c r="L108" s="1" t="s">
        <v>111</v>
      </c>
      <c r="M108" s="1" t="s">
        <v>1666</v>
      </c>
      <c r="N108" s="1" t="s">
        <v>112</v>
      </c>
      <c r="O108" s="1" t="s">
        <v>113</v>
      </c>
      <c r="P108" s="1" t="s">
        <v>113</v>
      </c>
      <c r="Q108" s="1" t="s">
        <v>1298</v>
      </c>
      <c r="R108" s="1" t="s">
        <v>157</v>
      </c>
      <c r="S108" s="1" t="s">
        <v>157</v>
      </c>
      <c r="T108" s="1" t="s">
        <v>113</v>
      </c>
      <c r="U108" s="1" t="s">
        <v>157</v>
      </c>
      <c r="V108" s="1" t="s">
        <v>428</v>
      </c>
      <c r="W108" s="1" t="s">
        <v>115</v>
      </c>
      <c r="X108" s="1" t="s">
        <v>113</v>
      </c>
      <c r="Y108" s="1" t="s">
        <v>157</v>
      </c>
      <c r="Z108" s="1">
        <v>99</v>
      </c>
      <c r="AA108" s="1" t="s">
        <v>116</v>
      </c>
      <c r="AB108" s="1" t="s">
        <v>128</v>
      </c>
      <c r="AC108" s="1" t="s">
        <v>118</v>
      </c>
      <c r="AD108" s="1">
        <v>80</v>
      </c>
      <c r="AE108" s="1" t="s">
        <v>116</v>
      </c>
      <c r="AF108" s="1">
        <v>180</v>
      </c>
      <c r="AG108" s="1" t="s">
        <v>113</v>
      </c>
      <c r="AH108" s="1">
        <v>30</v>
      </c>
      <c r="AI108" s="1">
        <v>0</v>
      </c>
      <c r="AJ108" s="1">
        <v>0</v>
      </c>
      <c r="AK108" s="1" t="s">
        <v>119</v>
      </c>
      <c r="AL108" s="1">
        <v>0</v>
      </c>
      <c r="AM108" s="1" t="s">
        <v>1667</v>
      </c>
      <c r="AN108" s="1">
        <v>0</v>
      </c>
      <c r="AO108" s="1" t="s">
        <v>113</v>
      </c>
      <c r="AP108" s="1" t="s">
        <v>113</v>
      </c>
      <c r="AQ108" s="1" t="s">
        <v>157</v>
      </c>
      <c r="AR108" s="1" t="s">
        <v>157</v>
      </c>
      <c r="AS108" s="1" t="s">
        <v>157</v>
      </c>
      <c r="AT108" s="1" t="s">
        <v>123</v>
      </c>
      <c r="AU108" s="1" t="s">
        <v>113</v>
      </c>
      <c r="AV108" s="1" t="s">
        <v>113</v>
      </c>
      <c r="AW108" s="1" t="s">
        <v>234</v>
      </c>
      <c r="AX108" s="1" t="s">
        <v>206</v>
      </c>
      <c r="AY108" s="1">
        <v>0</v>
      </c>
      <c r="AZ108" s="1" t="s">
        <v>113</v>
      </c>
      <c r="BA108" s="1" t="s">
        <v>113</v>
      </c>
      <c r="BB108" s="1" t="s">
        <v>761</v>
      </c>
      <c r="BC108" s="1" t="s">
        <v>206</v>
      </c>
      <c r="BD108" s="1">
        <v>0</v>
      </c>
      <c r="BE108" s="1">
        <v>100</v>
      </c>
      <c r="BF108" s="1" t="s">
        <v>127</v>
      </c>
      <c r="BG108" s="1" t="s">
        <v>127</v>
      </c>
      <c r="BH108" s="1" t="s">
        <v>207</v>
      </c>
      <c r="BI108" s="1" t="s">
        <v>207</v>
      </c>
      <c r="BJ108" s="1" t="s">
        <v>128</v>
      </c>
      <c r="BK108" s="1">
        <v>0</v>
      </c>
      <c r="BL108" s="1" t="s">
        <v>127</v>
      </c>
      <c r="BM108" s="1" t="s">
        <v>114</v>
      </c>
      <c r="BN108" s="1" t="s">
        <v>276</v>
      </c>
      <c r="BO108" s="1">
        <v>0</v>
      </c>
      <c r="BP108" s="1" t="s">
        <v>115</v>
      </c>
      <c r="BQ108" s="1" t="s">
        <v>1665</v>
      </c>
      <c r="BR108" s="1" t="s">
        <v>157</v>
      </c>
      <c r="BS108" s="1" t="s">
        <v>1668</v>
      </c>
      <c r="BT108" s="1" t="s">
        <v>172</v>
      </c>
      <c r="BU108" s="1" t="s">
        <v>632</v>
      </c>
      <c r="BV108" s="1" t="s">
        <v>713</v>
      </c>
      <c r="BW108" s="1" t="s">
        <v>134</v>
      </c>
      <c r="BX108" s="1" t="s">
        <v>1669</v>
      </c>
      <c r="BY108" s="1" t="s">
        <v>135</v>
      </c>
      <c r="BZ108" s="1" t="s">
        <v>157</v>
      </c>
      <c r="CA108" s="1">
        <v>180</v>
      </c>
      <c r="CB108" s="1" t="s">
        <v>176</v>
      </c>
      <c r="CC108" s="1" t="s">
        <v>496</v>
      </c>
      <c r="CD108" s="1" t="s">
        <v>1670</v>
      </c>
      <c r="CE108" s="1" t="s">
        <v>478</v>
      </c>
      <c r="CF108" s="1">
        <v>264000</v>
      </c>
      <c r="CG108" s="1">
        <v>264000</v>
      </c>
      <c r="CH108" s="1">
        <v>100</v>
      </c>
      <c r="CI108" s="1">
        <v>100</v>
      </c>
      <c r="CJ108" s="1">
        <v>100</v>
      </c>
      <c r="CK108" s="1">
        <v>100</v>
      </c>
      <c r="CL108" s="1">
        <v>100</v>
      </c>
      <c r="CM108" s="1">
        <v>100</v>
      </c>
      <c r="CN108" s="1">
        <v>100</v>
      </c>
      <c r="CO108" s="1">
        <v>100</v>
      </c>
      <c r="CP108" s="1">
        <v>100</v>
      </c>
      <c r="CQ108" s="1">
        <v>100</v>
      </c>
      <c r="CR108" s="1" t="s">
        <v>139</v>
      </c>
      <c r="CS108" s="1" t="s">
        <v>140</v>
      </c>
      <c r="CT108" s="1" t="s">
        <v>157</v>
      </c>
      <c r="CW108" s="1" t="s">
        <v>251</v>
      </c>
      <c r="CX108" s="1" t="s">
        <v>157</v>
      </c>
      <c r="CY108" s="1" t="s">
        <v>276</v>
      </c>
      <c r="CZ108" s="1" t="s">
        <v>144</v>
      </c>
      <c r="DA108" s="1" t="s">
        <v>145</v>
      </c>
    </row>
    <row r="109" spans="1:105" s="3" customFormat="1" ht="11.25" customHeight="1" x14ac:dyDescent="0.2">
      <c r="A109" s="1">
        <v>41</v>
      </c>
      <c r="B109" s="1" t="s">
        <v>1672</v>
      </c>
      <c r="C109" s="1" t="s">
        <v>1671</v>
      </c>
      <c r="D109" s="1">
        <v>4367</v>
      </c>
      <c r="E109" s="2" t="s">
        <v>4201</v>
      </c>
      <c r="F109" s="1" t="s">
        <v>106</v>
      </c>
      <c r="G109" s="1" t="s">
        <v>826</v>
      </c>
      <c r="H109" s="1" t="s">
        <v>774</v>
      </c>
      <c r="I109" s="1" t="s">
        <v>193</v>
      </c>
      <c r="J109" s="1" t="s">
        <v>113</v>
      </c>
      <c r="L109" s="1" t="s">
        <v>111</v>
      </c>
      <c r="M109" s="1" t="s">
        <v>230</v>
      </c>
      <c r="N109" s="1" t="s">
        <v>112</v>
      </c>
      <c r="O109" s="1" t="s">
        <v>113</v>
      </c>
      <c r="P109" s="1" t="s">
        <v>113</v>
      </c>
      <c r="Q109" s="1" t="s">
        <v>111</v>
      </c>
      <c r="R109" s="1" t="s">
        <v>127</v>
      </c>
      <c r="S109" s="1" t="s">
        <v>127</v>
      </c>
      <c r="T109" s="1" t="s">
        <v>113</v>
      </c>
      <c r="U109" s="1" t="s">
        <v>127</v>
      </c>
      <c r="W109" s="1" t="s">
        <v>115</v>
      </c>
      <c r="Z109" s="1">
        <v>100</v>
      </c>
      <c r="AA109" s="1" t="s">
        <v>132</v>
      </c>
      <c r="AB109" s="1" t="s">
        <v>128</v>
      </c>
      <c r="AC109" s="1" t="s">
        <v>118</v>
      </c>
      <c r="AD109" s="1">
        <v>0</v>
      </c>
      <c r="AE109" s="1" t="s">
        <v>132</v>
      </c>
      <c r="AF109" s="1">
        <v>588</v>
      </c>
      <c r="AG109" s="1" t="s">
        <v>113</v>
      </c>
      <c r="AH109" s="1">
        <v>0</v>
      </c>
      <c r="AK109" s="1" t="s">
        <v>232</v>
      </c>
      <c r="AM109" s="1" t="s">
        <v>1673</v>
      </c>
      <c r="AO109" s="1" t="s">
        <v>113</v>
      </c>
      <c r="AP109" s="1" t="s">
        <v>113</v>
      </c>
      <c r="AQ109" s="1" t="s">
        <v>127</v>
      </c>
      <c r="AR109" s="1" t="s">
        <v>127</v>
      </c>
      <c r="AS109" s="1" t="s">
        <v>127</v>
      </c>
      <c r="AT109" s="1" t="s">
        <v>123</v>
      </c>
      <c r="AU109" s="1" t="s">
        <v>113</v>
      </c>
      <c r="AV109" s="1" t="s">
        <v>113</v>
      </c>
      <c r="AW109" s="1" t="s">
        <v>164</v>
      </c>
      <c r="AX109" s="1" t="s">
        <v>165</v>
      </c>
      <c r="AY109" s="1">
        <v>0</v>
      </c>
      <c r="AZ109" s="1" t="s">
        <v>113</v>
      </c>
      <c r="BA109" s="1" t="s">
        <v>113</v>
      </c>
      <c r="BB109" s="1" t="s">
        <v>125</v>
      </c>
      <c r="BC109" s="1" t="s">
        <v>166</v>
      </c>
      <c r="BD109" s="1">
        <v>0</v>
      </c>
      <c r="BE109" s="1">
        <v>0</v>
      </c>
      <c r="BF109" s="1" t="s">
        <v>127</v>
      </c>
      <c r="BG109" s="1" t="s">
        <v>127</v>
      </c>
      <c r="BH109" s="1" t="s">
        <v>168</v>
      </c>
      <c r="BI109" s="1" t="s">
        <v>168</v>
      </c>
      <c r="BJ109" s="1" t="s">
        <v>128</v>
      </c>
      <c r="BK109" s="1">
        <v>0</v>
      </c>
      <c r="BL109" s="1" t="s">
        <v>127</v>
      </c>
      <c r="BM109" s="1" t="s">
        <v>114</v>
      </c>
      <c r="BN109" s="1">
        <v>0</v>
      </c>
      <c r="BO109" s="1">
        <v>0</v>
      </c>
      <c r="BP109" s="1" t="s">
        <v>115</v>
      </c>
      <c r="BQ109" s="1" t="s">
        <v>1674</v>
      </c>
      <c r="BR109" s="1" t="s">
        <v>1674</v>
      </c>
      <c r="BS109" s="1" t="s">
        <v>1674</v>
      </c>
      <c r="BT109" s="1" t="s">
        <v>172</v>
      </c>
      <c r="BU109" s="1" t="s">
        <v>132</v>
      </c>
      <c r="BV109" s="1" t="s">
        <v>713</v>
      </c>
      <c r="BW109" s="1" t="s">
        <v>134</v>
      </c>
      <c r="BX109" s="1" t="s">
        <v>137</v>
      </c>
      <c r="BY109" s="1" t="s">
        <v>135</v>
      </c>
      <c r="BZ109" s="1">
        <v>249177</v>
      </c>
      <c r="CA109" s="1">
        <v>588</v>
      </c>
      <c r="CB109" s="1" t="s">
        <v>244</v>
      </c>
      <c r="CC109" s="1" t="s">
        <v>177</v>
      </c>
      <c r="CD109" s="1" t="s">
        <v>1675</v>
      </c>
      <c r="CF109" s="1">
        <v>24084.34</v>
      </c>
      <c r="CG109" s="1">
        <v>395782.95</v>
      </c>
      <c r="CH109" s="1">
        <v>21716.49</v>
      </c>
      <c r="CI109" s="1">
        <v>0</v>
      </c>
      <c r="CJ109" s="1">
        <v>245.32</v>
      </c>
      <c r="CK109" s="1">
        <v>0</v>
      </c>
      <c r="CL109" s="1">
        <v>0</v>
      </c>
      <c r="CM109" s="1">
        <v>0</v>
      </c>
      <c r="CN109" s="1">
        <v>0</v>
      </c>
      <c r="CO109" s="1">
        <v>0</v>
      </c>
      <c r="CP109" s="1">
        <v>0</v>
      </c>
      <c r="CQ109" s="1">
        <v>0</v>
      </c>
      <c r="CR109" s="1" t="s">
        <v>139</v>
      </c>
      <c r="CS109" s="1" t="s">
        <v>308</v>
      </c>
      <c r="CT109" s="1" t="s">
        <v>1676</v>
      </c>
      <c r="CW109" s="1" t="s">
        <v>141</v>
      </c>
      <c r="CX109" s="1" t="s">
        <v>127</v>
      </c>
      <c r="CY109" s="1" t="s">
        <v>127</v>
      </c>
      <c r="CZ109" s="1" t="s">
        <v>144</v>
      </c>
      <c r="DA109" s="1" t="s">
        <v>145</v>
      </c>
    </row>
    <row r="110" spans="1:105" s="3" customFormat="1" ht="11.25" customHeight="1" x14ac:dyDescent="0.2">
      <c r="A110" s="1">
        <v>41</v>
      </c>
      <c r="B110" s="1" t="s">
        <v>1678</v>
      </c>
      <c r="C110" s="1" t="s">
        <v>1677</v>
      </c>
      <c r="D110" s="1">
        <v>4825</v>
      </c>
      <c r="E110" s="2" t="s">
        <v>4201</v>
      </c>
      <c r="F110" s="1" t="s">
        <v>106</v>
      </c>
      <c r="G110" s="1" t="s">
        <v>254</v>
      </c>
      <c r="H110" s="1" t="s">
        <v>1679</v>
      </c>
      <c r="I110" s="1" t="s">
        <v>1680</v>
      </c>
      <c r="J110" s="1" t="s">
        <v>113</v>
      </c>
      <c r="K110" s="1" t="s">
        <v>1681</v>
      </c>
      <c r="L110" s="1" t="s">
        <v>111</v>
      </c>
      <c r="M110" s="1" t="s">
        <v>230</v>
      </c>
      <c r="N110" s="1" t="s">
        <v>112</v>
      </c>
      <c r="O110" s="1" t="s">
        <v>106</v>
      </c>
      <c r="P110" s="1" t="s">
        <v>113</v>
      </c>
      <c r="Q110" s="1" t="s">
        <v>195</v>
      </c>
      <c r="R110" s="1" t="s">
        <v>1682</v>
      </c>
      <c r="S110" s="1" t="s">
        <v>127</v>
      </c>
      <c r="T110" s="1" t="s">
        <v>113</v>
      </c>
      <c r="U110" s="1" t="s">
        <v>1683</v>
      </c>
      <c r="W110" s="1" t="s">
        <v>115</v>
      </c>
      <c r="X110" s="1" t="s">
        <v>113</v>
      </c>
      <c r="Y110" s="1" t="s">
        <v>1683</v>
      </c>
      <c r="Z110" s="1">
        <v>100</v>
      </c>
      <c r="AA110" s="1" t="s">
        <v>116</v>
      </c>
      <c r="AB110" s="1" t="s">
        <v>128</v>
      </c>
      <c r="AC110" s="1" t="s">
        <v>118</v>
      </c>
      <c r="AD110" s="1">
        <v>40</v>
      </c>
      <c r="AE110" s="1" t="s">
        <v>116</v>
      </c>
      <c r="AF110" s="1">
        <v>984</v>
      </c>
      <c r="AG110" s="1" t="s">
        <v>113</v>
      </c>
      <c r="AH110" s="1">
        <v>0</v>
      </c>
      <c r="AI110" s="1">
        <v>0</v>
      </c>
      <c r="AJ110" s="1">
        <v>0</v>
      </c>
      <c r="AK110" s="1" t="s">
        <v>1235</v>
      </c>
      <c r="AL110" s="1">
        <v>0</v>
      </c>
      <c r="AM110" s="1" t="s">
        <v>120</v>
      </c>
      <c r="AN110" s="1">
        <v>0</v>
      </c>
      <c r="AO110" s="1" t="s">
        <v>113</v>
      </c>
      <c r="AP110" s="1" t="s">
        <v>113</v>
      </c>
      <c r="AQ110" s="1" t="s">
        <v>1683</v>
      </c>
      <c r="AR110" s="1" t="s">
        <v>1683</v>
      </c>
      <c r="AS110" s="1" t="s">
        <v>1683</v>
      </c>
      <c r="AT110" s="1" t="s">
        <v>204</v>
      </c>
      <c r="AU110" s="1" t="s">
        <v>106</v>
      </c>
      <c r="AV110" s="1" t="s">
        <v>113</v>
      </c>
      <c r="AW110" s="1" t="s">
        <v>234</v>
      </c>
      <c r="AX110" s="1" t="s">
        <v>1113</v>
      </c>
      <c r="AY110" s="1">
        <v>10</v>
      </c>
      <c r="AZ110" s="1" t="s">
        <v>106</v>
      </c>
      <c r="BA110" s="1" t="s">
        <v>113</v>
      </c>
      <c r="BB110" s="1" t="s">
        <v>125</v>
      </c>
      <c r="BC110" s="1" t="s">
        <v>166</v>
      </c>
      <c r="BD110" s="1">
        <v>0</v>
      </c>
      <c r="BE110" s="1">
        <v>100</v>
      </c>
      <c r="BF110" s="1" t="s">
        <v>167</v>
      </c>
      <c r="BG110" s="1" t="s">
        <v>116</v>
      </c>
      <c r="BH110" s="1" t="s">
        <v>168</v>
      </c>
      <c r="BI110" s="1" t="s">
        <v>269</v>
      </c>
      <c r="BJ110" s="1" t="s">
        <v>208</v>
      </c>
      <c r="BK110" s="1">
        <v>40</v>
      </c>
      <c r="BL110" s="1" t="s">
        <v>167</v>
      </c>
      <c r="BM110" s="1" t="s">
        <v>210</v>
      </c>
      <c r="BN110" s="1">
        <v>8</v>
      </c>
      <c r="BO110" s="1" t="s">
        <v>1683</v>
      </c>
      <c r="BP110" s="1" t="s">
        <v>115</v>
      </c>
      <c r="BQ110" s="1" t="s">
        <v>1684</v>
      </c>
      <c r="BR110" s="1" t="s">
        <v>1685</v>
      </c>
      <c r="BS110" s="1" t="s">
        <v>1686</v>
      </c>
      <c r="BT110" s="1" t="s">
        <v>172</v>
      </c>
      <c r="BU110" s="1" t="s">
        <v>132</v>
      </c>
      <c r="BV110" s="1" t="s">
        <v>1687</v>
      </c>
      <c r="BW110" s="1" t="s">
        <v>134</v>
      </c>
      <c r="BX110" s="1" t="s">
        <v>1688</v>
      </c>
      <c r="BY110" s="1" t="s">
        <v>135</v>
      </c>
      <c r="BZ110" s="1" t="s">
        <v>1689</v>
      </c>
      <c r="CA110" s="1">
        <v>984</v>
      </c>
      <c r="CB110" s="1" t="s">
        <v>244</v>
      </c>
      <c r="CC110" s="1" t="s">
        <v>496</v>
      </c>
      <c r="CD110" s="1" t="s">
        <v>1690</v>
      </c>
      <c r="CE110" s="1" t="s">
        <v>478</v>
      </c>
      <c r="CF110" s="1">
        <v>294483.49</v>
      </c>
      <c r="CG110" s="1">
        <v>392315</v>
      </c>
      <c r="CH110" s="1">
        <v>155.91999999999999</v>
      </c>
      <c r="CI110" s="1" t="s">
        <v>1691</v>
      </c>
      <c r="CJ110" s="1" t="s">
        <v>1692</v>
      </c>
      <c r="CK110" s="1" t="s">
        <v>1693</v>
      </c>
      <c r="CL110" s="1">
        <v>109500</v>
      </c>
      <c r="CM110" s="1">
        <v>729880</v>
      </c>
      <c r="CN110" s="1">
        <v>0</v>
      </c>
      <c r="CO110" s="1">
        <v>0</v>
      </c>
      <c r="CP110" s="1">
        <v>0</v>
      </c>
      <c r="CQ110" s="1">
        <v>0</v>
      </c>
      <c r="CR110" s="1" t="s">
        <v>139</v>
      </c>
      <c r="CS110" s="1" t="s">
        <v>140</v>
      </c>
      <c r="CT110" s="1" t="s">
        <v>1694</v>
      </c>
      <c r="CU110" s="1" t="s">
        <v>1695</v>
      </c>
      <c r="CV110" s="1" t="s">
        <v>1696</v>
      </c>
      <c r="CW110" s="1" t="s">
        <v>420</v>
      </c>
      <c r="CX110" s="1" t="s">
        <v>1697</v>
      </c>
      <c r="CY110" s="1" t="s">
        <v>1698</v>
      </c>
      <c r="CZ110" s="1" t="s">
        <v>144</v>
      </c>
      <c r="DA110" s="1" t="s">
        <v>145</v>
      </c>
    </row>
    <row r="111" spans="1:105" s="3" customFormat="1" ht="11.25" customHeight="1" x14ac:dyDescent="0.2">
      <c r="A111" s="1">
        <v>41</v>
      </c>
      <c r="B111" s="1" t="s">
        <v>1700</v>
      </c>
      <c r="C111" s="1" t="s">
        <v>1699</v>
      </c>
      <c r="D111" s="1">
        <v>7756</v>
      </c>
      <c r="E111" s="2" t="s">
        <v>4201</v>
      </c>
      <c r="F111" s="1" t="s">
        <v>113</v>
      </c>
      <c r="G111" s="1" t="s">
        <v>190</v>
      </c>
      <c r="H111" s="1" t="s">
        <v>1701</v>
      </c>
      <c r="I111" s="1" t="s">
        <v>193</v>
      </c>
      <c r="J111" s="1" t="s">
        <v>229</v>
      </c>
      <c r="K111" s="1" t="s">
        <v>1701</v>
      </c>
      <c r="L111" s="1" t="s">
        <v>111</v>
      </c>
      <c r="M111" s="1" t="s">
        <v>191</v>
      </c>
      <c r="N111" s="1" t="s">
        <v>112</v>
      </c>
      <c r="O111" s="1" t="s">
        <v>113</v>
      </c>
      <c r="P111" s="1" t="s">
        <v>113</v>
      </c>
      <c r="Q111" s="1" t="s">
        <v>195</v>
      </c>
      <c r="R111" s="1" t="s">
        <v>1702</v>
      </c>
      <c r="S111" s="1" t="s">
        <v>157</v>
      </c>
      <c r="T111" s="1" t="s">
        <v>106</v>
      </c>
      <c r="U111" s="1" t="s">
        <v>1703</v>
      </c>
      <c r="V111" s="1" t="s">
        <v>1704</v>
      </c>
      <c r="W111" s="1" t="s">
        <v>115</v>
      </c>
      <c r="X111" s="1" t="s">
        <v>113</v>
      </c>
      <c r="Y111" s="1" t="s">
        <v>114</v>
      </c>
      <c r="Z111" s="1">
        <v>100</v>
      </c>
      <c r="AA111" s="1" t="s">
        <v>116</v>
      </c>
      <c r="AB111" s="1" t="s">
        <v>128</v>
      </c>
      <c r="AC111" s="1" t="s">
        <v>118</v>
      </c>
      <c r="AD111" s="1">
        <v>50</v>
      </c>
      <c r="AE111" s="1" t="s">
        <v>116</v>
      </c>
      <c r="AF111" s="1">
        <v>1632</v>
      </c>
      <c r="AG111" s="1" t="s">
        <v>113</v>
      </c>
      <c r="AH111" s="1">
        <v>55</v>
      </c>
      <c r="AI111" s="1">
        <v>0</v>
      </c>
      <c r="AJ111" s="1">
        <v>0</v>
      </c>
      <c r="AK111" s="1" t="s">
        <v>626</v>
      </c>
      <c r="AL111" s="1">
        <v>768</v>
      </c>
      <c r="AM111" s="1" t="s">
        <v>363</v>
      </c>
      <c r="AN111" s="1">
        <v>0</v>
      </c>
      <c r="AO111" s="1" t="s">
        <v>113</v>
      </c>
      <c r="AP111" s="1" t="s">
        <v>113</v>
      </c>
      <c r="AQ111" s="1" t="s">
        <v>1705</v>
      </c>
      <c r="AR111" s="1" t="s">
        <v>1706</v>
      </c>
      <c r="AS111" s="1" t="s">
        <v>1707</v>
      </c>
      <c r="AT111" s="1" t="s">
        <v>123</v>
      </c>
      <c r="AU111" s="1" t="s">
        <v>106</v>
      </c>
      <c r="AV111" s="1" t="s">
        <v>106</v>
      </c>
      <c r="AW111" s="1" t="s">
        <v>234</v>
      </c>
      <c r="AX111" s="1" t="s">
        <v>235</v>
      </c>
      <c r="AY111" s="1">
        <v>0</v>
      </c>
      <c r="AZ111" s="1" t="s">
        <v>106</v>
      </c>
      <c r="BA111" s="1" t="s">
        <v>113</v>
      </c>
      <c r="BB111" s="1" t="s">
        <v>125</v>
      </c>
      <c r="BC111" s="1" t="s">
        <v>166</v>
      </c>
      <c r="BD111" s="1">
        <v>0</v>
      </c>
      <c r="BE111" s="1">
        <v>100</v>
      </c>
      <c r="BF111" s="1" t="s">
        <v>167</v>
      </c>
      <c r="BG111" s="1" t="s">
        <v>383</v>
      </c>
      <c r="BH111" s="1" t="s">
        <v>1708</v>
      </c>
      <c r="BI111" s="1" t="s">
        <v>1708</v>
      </c>
      <c r="BJ111" s="1" t="s">
        <v>208</v>
      </c>
      <c r="BK111" s="1">
        <v>50</v>
      </c>
      <c r="BL111" s="1" t="s">
        <v>167</v>
      </c>
      <c r="BM111" s="1" t="s">
        <v>386</v>
      </c>
      <c r="BN111" s="1">
        <v>6</v>
      </c>
      <c r="BO111" s="1">
        <v>0</v>
      </c>
      <c r="BP111" s="1" t="s">
        <v>363</v>
      </c>
      <c r="BQ111" s="1" t="s">
        <v>1709</v>
      </c>
      <c r="BR111" s="1" t="s">
        <v>1710</v>
      </c>
      <c r="BS111" s="1" t="s">
        <v>1711</v>
      </c>
      <c r="BT111" s="1" t="s">
        <v>172</v>
      </c>
      <c r="BU111" s="1" t="s">
        <v>239</v>
      </c>
      <c r="BV111" s="1" t="s">
        <v>713</v>
      </c>
      <c r="BW111" s="1" t="s">
        <v>298</v>
      </c>
      <c r="BX111" s="1" t="s">
        <v>1712</v>
      </c>
      <c r="BY111" s="1" t="s">
        <v>241</v>
      </c>
      <c r="BZ111" s="1" t="s">
        <v>157</v>
      </c>
      <c r="CA111" s="1">
        <v>1632</v>
      </c>
      <c r="CB111" s="1" t="s">
        <v>137</v>
      </c>
      <c r="CC111" s="1" t="s">
        <v>177</v>
      </c>
      <c r="CD111" s="1" t="s">
        <v>1713</v>
      </c>
      <c r="CE111" s="1" t="s">
        <v>219</v>
      </c>
      <c r="CF111" s="1">
        <v>146456.4</v>
      </c>
      <c r="CG111" s="1">
        <v>325529.94</v>
      </c>
      <c r="CH111" s="1">
        <v>250</v>
      </c>
      <c r="CI111" s="1">
        <v>0</v>
      </c>
      <c r="CJ111" s="1">
        <v>0</v>
      </c>
      <c r="CK111" s="1">
        <v>5000</v>
      </c>
      <c r="CL111" s="1">
        <v>0</v>
      </c>
      <c r="CM111" s="1">
        <v>0</v>
      </c>
      <c r="CN111" s="1">
        <v>50000</v>
      </c>
      <c r="CO111" s="1">
        <v>50000</v>
      </c>
      <c r="CP111" s="1">
        <v>0</v>
      </c>
      <c r="CQ111" s="1">
        <v>0</v>
      </c>
      <c r="CR111" s="1" t="s">
        <v>139</v>
      </c>
      <c r="CS111" s="1" t="s">
        <v>140</v>
      </c>
      <c r="CT111" s="1" t="s">
        <v>1714</v>
      </c>
      <c r="CU111" s="1" t="s">
        <v>617</v>
      </c>
      <c r="CV111" s="1" t="s">
        <v>1715</v>
      </c>
      <c r="CW111" s="1" t="s">
        <v>1716</v>
      </c>
      <c r="CX111" s="1" t="s">
        <v>1717</v>
      </c>
      <c r="CY111" s="1" t="s">
        <v>143</v>
      </c>
      <c r="CZ111" s="1" t="s">
        <v>144</v>
      </c>
      <c r="DA111" s="1" t="s">
        <v>145</v>
      </c>
    </row>
    <row r="112" spans="1:105" s="3" customFormat="1" ht="11.25" customHeight="1" x14ac:dyDescent="0.2">
      <c r="A112" s="1">
        <v>41</v>
      </c>
      <c r="B112" s="1" t="s">
        <v>1719</v>
      </c>
      <c r="C112" s="1" t="s">
        <v>1718</v>
      </c>
      <c r="D112" s="1">
        <v>295500</v>
      </c>
      <c r="E112" s="2" t="s">
        <v>4201</v>
      </c>
      <c r="F112" s="1" t="s">
        <v>113</v>
      </c>
      <c r="G112" s="1" t="s">
        <v>190</v>
      </c>
      <c r="H112" s="1" t="s">
        <v>313</v>
      </c>
      <c r="I112" s="1" t="s">
        <v>229</v>
      </c>
      <c r="J112" s="1" t="s">
        <v>229</v>
      </c>
      <c r="L112" s="1" t="s">
        <v>401</v>
      </c>
      <c r="M112" s="1" t="s">
        <v>1720</v>
      </c>
      <c r="N112" s="1" t="s">
        <v>506</v>
      </c>
      <c r="O112" s="1" t="s">
        <v>106</v>
      </c>
      <c r="P112" s="1" t="s">
        <v>106</v>
      </c>
      <c r="Q112" s="1" t="s">
        <v>195</v>
      </c>
      <c r="R112" s="1" t="s">
        <v>1721</v>
      </c>
      <c r="S112" s="1" t="s">
        <v>1722</v>
      </c>
      <c r="T112" s="1" t="s">
        <v>106</v>
      </c>
      <c r="U112" s="1" t="s">
        <v>1721</v>
      </c>
      <c r="V112" s="1" t="s">
        <v>1723</v>
      </c>
      <c r="W112" s="1" t="s">
        <v>755</v>
      </c>
      <c r="X112" s="1" t="s">
        <v>106</v>
      </c>
      <c r="Y112" s="1" t="s">
        <v>1724</v>
      </c>
      <c r="Z112" s="1">
        <v>100</v>
      </c>
      <c r="AA112" s="1" t="s">
        <v>132</v>
      </c>
      <c r="AB112" s="1" t="s">
        <v>128</v>
      </c>
      <c r="AC112" s="1" t="s">
        <v>384</v>
      </c>
      <c r="AD112" s="1">
        <v>100</v>
      </c>
      <c r="AE112" s="1" t="s">
        <v>132</v>
      </c>
      <c r="AF112" s="1">
        <v>96835</v>
      </c>
      <c r="AG112" s="1" t="s">
        <v>113</v>
      </c>
      <c r="AH112" s="1">
        <v>0</v>
      </c>
      <c r="AI112" s="1">
        <v>0</v>
      </c>
      <c r="AJ112" s="1">
        <v>0</v>
      </c>
      <c r="AK112" s="1" t="s">
        <v>758</v>
      </c>
      <c r="AL112" s="1">
        <v>145044</v>
      </c>
      <c r="AM112" s="1" t="s">
        <v>172</v>
      </c>
      <c r="AN112" s="1">
        <v>100</v>
      </c>
      <c r="AO112" s="1" t="s">
        <v>113</v>
      </c>
      <c r="AP112" s="1" t="s">
        <v>113</v>
      </c>
      <c r="AQ112" s="1" t="s">
        <v>1725</v>
      </c>
      <c r="AR112" s="1" t="s">
        <v>1725</v>
      </c>
      <c r="AS112" s="1" t="s">
        <v>1725</v>
      </c>
      <c r="AT112" s="1" t="s">
        <v>123</v>
      </c>
      <c r="AU112" s="1" t="s">
        <v>113</v>
      </c>
      <c r="AV112" s="1" t="s">
        <v>113</v>
      </c>
      <c r="AW112" s="1" t="s">
        <v>124</v>
      </c>
      <c r="AX112" s="1" t="s">
        <v>165</v>
      </c>
      <c r="AY112" s="1">
        <v>0</v>
      </c>
      <c r="AZ112" s="1" t="s">
        <v>113</v>
      </c>
      <c r="BA112" s="1" t="s">
        <v>113</v>
      </c>
      <c r="BB112" s="1" t="s">
        <v>125</v>
      </c>
      <c r="BC112" s="1" t="s">
        <v>166</v>
      </c>
      <c r="BD112" s="1">
        <v>0</v>
      </c>
      <c r="BE112" s="1">
        <v>100</v>
      </c>
      <c r="BF112" s="1" t="s">
        <v>167</v>
      </c>
      <c r="BG112" s="1" t="s">
        <v>268</v>
      </c>
      <c r="BH112" s="1" t="s">
        <v>269</v>
      </c>
      <c r="BI112" s="1" t="s">
        <v>269</v>
      </c>
      <c r="BJ112" s="1" t="s">
        <v>384</v>
      </c>
      <c r="BK112" s="1">
        <v>100</v>
      </c>
      <c r="BL112" s="1" t="s">
        <v>167</v>
      </c>
      <c r="BM112" s="1" t="s">
        <v>271</v>
      </c>
      <c r="BN112" s="1">
        <v>140</v>
      </c>
      <c r="BO112" s="1">
        <v>0</v>
      </c>
      <c r="BP112" s="1" t="s">
        <v>124</v>
      </c>
      <c r="BQ112" s="1">
        <v>0</v>
      </c>
      <c r="BR112" s="1" t="s">
        <v>1726</v>
      </c>
      <c r="BS112" s="1" t="s">
        <v>1727</v>
      </c>
      <c r="BT112" s="1" t="s">
        <v>172</v>
      </c>
      <c r="BU112" s="1" t="s">
        <v>132</v>
      </c>
      <c r="BV112" s="1" t="s">
        <v>133</v>
      </c>
      <c r="BW112" s="1" t="s">
        <v>134</v>
      </c>
      <c r="BX112" s="1" t="s">
        <v>137</v>
      </c>
      <c r="BY112" s="1" t="s">
        <v>135</v>
      </c>
      <c r="BZ112" s="1" t="s">
        <v>1728</v>
      </c>
      <c r="CA112" s="1">
        <v>96835</v>
      </c>
      <c r="CB112" s="1" t="s">
        <v>244</v>
      </c>
      <c r="CC112" s="1" t="s">
        <v>496</v>
      </c>
      <c r="CD112" s="1" t="s">
        <v>1729</v>
      </c>
      <c r="CE112" s="1" t="s">
        <v>478</v>
      </c>
      <c r="CF112" s="1">
        <v>28034904.449999999</v>
      </c>
      <c r="CG112" s="1">
        <v>42962341.549999997</v>
      </c>
      <c r="CH112" s="1">
        <v>443.66</v>
      </c>
      <c r="CI112" s="1">
        <v>0</v>
      </c>
      <c r="CJ112" s="1">
        <v>0</v>
      </c>
      <c r="CK112" s="1">
        <v>817.71</v>
      </c>
      <c r="CL112" s="1">
        <v>0</v>
      </c>
      <c r="CM112" s="1">
        <v>0</v>
      </c>
      <c r="CN112" s="1">
        <v>0</v>
      </c>
      <c r="CO112" s="1">
        <v>0</v>
      </c>
      <c r="CP112" s="1">
        <v>0</v>
      </c>
      <c r="CQ112" s="1">
        <v>0</v>
      </c>
      <c r="CR112" s="1" t="s">
        <v>139</v>
      </c>
      <c r="CS112" s="1" t="s">
        <v>140</v>
      </c>
      <c r="CT112" s="1" t="s">
        <v>1730</v>
      </c>
      <c r="CU112" s="1" t="s">
        <v>249</v>
      </c>
      <c r="CW112" s="1" t="s">
        <v>184</v>
      </c>
      <c r="CX112" s="1" t="s">
        <v>1731</v>
      </c>
      <c r="CY112" s="1" t="s">
        <v>143</v>
      </c>
    </row>
    <row r="113" spans="1:105" s="3" customFormat="1" ht="11.25" customHeight="1" x14ac:dyDescent="0.2">
      <c r="A113" s="1">
        <v>41</v>
      </c>
      <c r="B113" s="1" t="s">
        <v>1733</v>
      </c>
      <c r="C113" s="1" t="s">
        <v>1732</v>
      </c>
      <c r="D113" s="1">
        <v>4925</v>
      </c>
      <c r="E113" s="2" t="s">
        <v>4201</v>
      </c>
      <c r="F113" s="1" t="s">
        <v>113</v>
      </c>
      <c r="G113" s="1" t="s">
        <v>190</v>
      </c>
      <c r="H113" s="1" t="s">
        <v>1734</v>
      </c>
      <c r="I113" s="1" t="s">
        <v>229</v>
      </c>
      <c r="J113" s="1" t="s">
        <v>229</v>
      </c>
      <c r="L113" s="1" t="s">
        <v>111</v>
      </c>
      <c r="M113" s="1" t="s">
        <v>111</v>
      </c>
      <c r="N113" s="1" t="s">
        <v>112</v>
      </c>
      <c r="O113" s="1" t="s">
        <v>113</v>
      </c>
      <c r="P113" s="1" t="s">
        <v>113</v>
      </c>
      <c r="Q113" s="1" t="s">
        <v>195</v>
      </c>
      <c r="R113" s="1" t="s">
        <v>1735</v>
      </c>
      <c r="S113" s="1" t="s">
        <v>290</v>
      </c>
      <c r="T113" s="1" t="s">
        <v>106</v>
      </c>
      <c r="U113" s="1" t="s">
        <v>1736</v>
      </c>
      <c r="V113" s="1" t="s">
        <v>1737</v>
      </c>
      <c r="W113" s="1" t="s">
        <v>115</v>
      </c>
      <c r="X113" s="1" t="s">
        <v>113</v>
      </c>
      <c r="Y113" s="1" t="s">
        <v>290</v>
      </c>
      <c r="Z113" s="1">
        <v>100</v>
      </c>
      <c r="AA113" s="1" t="s">
        <v>116</v>
      </c>
      <c r="AB113" s="1" t="s">
        <v>128</v>
      </c>
      <c r="AC113" s="1" t="s">
        <v>384</v>
      </c>
      <c r="AD113" s="1">
        <v>100</v>
      </c>
      <c r="AE113" s="1" t="s">
        <v>116</v>
      </c>
      <c r="AF113" s="1">
        <v>600</v>
      </c>
      <c r="AG113" s="1" t="s">
        <v>113</v>
      </c>
      <c r="AH113" s="1">
        <v>0</v>
      </c>
      <c r="AI113" s="1">
        <v>0</v>
      </c>
      <c r="AJ113" s="1">
        <v>0</v>
      </c>
      <c r="AK113" s="1" t="s">
        <v>232</v>
      </c>
      <c r="AL113" s="1">
        <v>0</v>
      </c>
      <c r="AM113" s="1" t="s">
        <v>1738</v>
      </c>
      <c r="AN113" s="1">
        <v>0</v>
      </c>
      <c r="AO113" s="1" t="s">
        <v>113</v>
      </c>
      <c r="AP113" s="1" t="s">
        <v>106</v>
      </c>
      <c r="AQ113" s="1" t="s">
        <v>114</v>
      </c>
      <c r="AR113" s="1" t="s">
        <v>1739</v>
      </c>
      <c r="AS113" s="1" t="s">
        <v>114</v>
      </c>
      <c r="AT113" s="1" t="s">
        <v>123</v>
      </c>
      <c r="AU113" s="1" t="s">
        <v>106</v>
      </c>
      <c r="AV113" s="1" t="s">
        <v>113</v>
      </c>
      <c r="AW113" s="1" t="s">
        <v>164</v>
      </c>
      <c r="AX113" s="1" t="s">
        <v>165</v>
      </c>
      <c r="AY113" s="1">
        <v>0</v>
      </c>
      <c r="AZ113" s="1" t="s">
        <v>113</v>
      </c>
      <c r="BA113" s="1" t="s">
        <v>113</v>
      </c>
      <c r="BB113" s="1" t="s">
        <v>125</v>
      </c>
      <c r="BC113" s="1" t="s">
        <v>166</v>
      </c>
      <c r="BD113" s="1">
        <v>0</v>
      </c>
      <c r="BE113" s="1">
        <v>100</v>
      </c>
      <c r="BF113" s="1" t="s">
        <v>167</v>
      </c>
      <c r="BG113" s="1" t="s">
        <v>116</v>
      </c>
      <c r="BH113" s="1" t="s">
        <v>207</v>
      </c>
      <c r="BI113" s="1" t="s">
        <v>207</v>
      </c>
      <c r="BJ113" s="1" t="s">
        <v>384</v>
      </c>
      <c r="BK113" s="1">
        <v>100</v>
      </c>
      <c r="BL113" s="1" t="s">
        <v>167</v>
      </c>
      <c r="BM113" s="1" t="s">
        <v>210</v>
      </c>
      <c r="BN113" s="1">
        <v>4</v>
      </c>
      <c r="BO113" s="1">
        <v>0</v>
      </c>
      <c r="BP113" s="1" t="s">
        <v>115</v>
      </c>
      <c r="BQ113" s="1" t="s">
        <v>984</v>
      </c>
      <c r="BR113" s="1" t="s">
        <v>114</v>
      </c>
      <c r="BS113" s="1" t="s">
        <v>1740</v>
      </c>
      <c r="BT113" s="1" t="s">
        <v>172</v>
      </c>
      <c r="BU113" s="1" t="s">
        <v>132</v>
      </c>
      <c r="BV113" s="1" t="s">
        <v>1741</v>
      </c>
      <c r="BW113" s="1" t="s">
        <v>134</v>
      </c>
      <c r="BX113" s="1" t="s">
        <v>1742</v>
      </c>
      <c r="BY113" s="1" t="s">
        <v>135</v>
      </c>
      <c r="BZ113" s="1" t="s">
        <v>1743</v>
      </c>
      <c r="CA113" s="1">
        <v>600</v>
      </c>
      <c r="CB113" s="1" t="s">
        <v>176</v>
      </c>
      <c r="CC113" s="1" t="s">
        <v>1744</v>
      </c>
      <c r="CD113" s="1" t="s">
        <v>1745</v>
      </c>
      <c r="CE113" s="1" t="s">
        <v>179</v>
      </c>
      <c r="CF113" s="6">
        <v>75325.73</v>
      </c>
      <c r="CG113" s="6">
        <v>243025.28</v>
      </c>
      <c r="CH113" s="1" t="s">
        <v>290</v>
      </c>
      <c r="CI113" s="1">
        <v>0</v>
      </c>
      <c r="CJ113" s="1">
        <v>200</v>
      </c>
      <c r="CK113" s="1">
        <v>0</v>
      </c>
      <c r="CL113" s="1">
        <v>0</v>
      </c>
      <c r="CM113" s="1">
        <v>0</v>
      </c>
      <c r="CN113" s="1">
        <v>0</v>
      </c>
      <c r="CO113" s="1">
        <v>0</v>
      </c>
      <c r="CP113" s="1">
        <v>250</v>
      </c>
      <c r="CQ113" s="1">
        <v>0</v>
      </c>
      <c r="CR113" s="1" t="s">
        <v>139</v>
      </c>
      <c r="CS113" s="1" t="s">
        <v>308</v>
      </c>
      <c r="CT113" s="1" t="s">
        <v>573</v>
      </c>
      <c r="CV113" s="1" t="s">
        <v>439</v>
      </c>
      <c r="CW113" s="1" t="s">
        <v>184</v>
      </c>
      <c r="CX113" s="1" t="s">
        <v>290</v>
      </c>
      <c r="CY113" s="1" t="s">
        <v>143</v>
      </c>
    </row>
    <row r="114" spans="1:105" s="3" customFormat="1" ht="11.25" customHeight="1" x14ac:dyDescent="0.2">
      <c r="A114" s="1">
        <v>41</v>
      </c>
      <c r="B114" s="1" t="s">
        <v>1747</v>
      </c>
      <c r="C114" s="1" t="s">
        <v>1746</v>
      </c>
      <c r="D114" s="1">
        <v>8464</v>
      </c>
      <c r="E114" s="2" t="s">
        <v>4201</v>
      </c>
      <c r="F114" s="1" t="s">
        <v>106</v>
      </c>
      <c r="G114" s="1" t="s">
        <v>603</v>
      </c>
      <c r="H114" s="1" t="s">
        <v>604</v>
      </c>
      <c r="I114" s="1" t="s">
        <v>193</v>
      </c>
      <c r="J114" s="1" t="s">
        <v>113</v>
      </c>
      <c r="K114" s="1" t="s">
        <v>604</v>
      </c>
      <c r="L114" s="1" t="s">
        <v>111</v>
      </c>
      <c r="M114" s="1" t="s">
        <v>111</v>
      </c>
      <c r="N114" s="1" t="s">
        <v>112</v>
      </c>
      <c r="O114" s="1" t="s">
        <v>106</v>
      </c>
      <c r="P114" s="1" t="s">
        <v>113</v>
      </c>
      <c r="Q114" s="1" t="s">
        <v>152</v>
      </c>
      <c r="R114" s="1" t="s">
        <v>114</v>
      </c>
      <c r="S114" s="1" t="s">
        <v>114</v>
      </c>
      <c r="T114" s="1" t="s">
        <v>106</v>
      </c>
      <c r="U114" s="1">
        <v>771</v>
      </c>
      <c r="V114" s="1" t="s">
        <v>1291</v>
      </c>
      <c r="W114" s="1" t="s">
        <v>115</v>
      </c>
      <c r="X114" s="1" t="s">
        <v>113</v>
      </c>
      <c r="Y114" s="1" t="s">
        <v>114</v>
      </c>
      <c r="Z114" s="1">
        <v>100</v>
      </c>
      <c r="AA114" s="1" t="s">
        <v>116</v>
      </c>
      <c r="AB114" s="1" t="s">
        <v>128</v>
      </c>
      <c r="AC114" s="1" t="s">
        <v>118</v>
      </c>
      <c r="AD114" s="1">
        <v>50</v>
      </c>
      <c r="AE114" s="1" t="s">
        <v>116</v>
      </c>
      <c r="AF114" s="1">
        <v>4600</v>
      </c>
      <c r="AG114" s="1" t="s">
        <v>113</v>
      </c>
      <c r="AH114" s="1">
        <v>0</v>
      </c>
      <c r="AI114" s="1">
        <v>0</v>
      </c>
      <c r="AJ114" s="1">
        <v>0</v>
      </c>
      <c r="AK114" s="1" t="s">
        <v>119</v>
      </c>
      <c r="AL114" s="1">
        <v>0</v>
      </c>
      <c r="AM114" s="1" t="s">
        <v>114</v>
      </c>
      <c r="AN114" s="1">
        <v>0</v>
      </c>
      <c r="AO114" s="1" t="s">
        <v>113</v>
      </c>
      <c r="AP114" s="1" t="s">
        <v>113</v>
      </c>
      <c r="AQ114" s="1" t="s">
        <v>114</v>
      </c>
      <c r="AR114" s="1" t="s">
        <v>114</v>
      </c>
      <c r="AS114" s="1" t="s">
        <v>114</v>
      </c>
      <c r="AT114" s="1" t="s">
        <v>123</v>
      </c>
      <c r="AU114" s="1" t="s">
        <v>106</v>
      </c>
      <c r="AV114" s="1" t="s">
        <v>113</v>
      </c>
      <c r="AW114" s="1" t="s">
        <v>164</v>
      </c>
      <c r="AX114" s="1" t="s">
        <v>206</v>
      </c>
      <c r="AY114" s="1">
        <v>100</v>
      </c>
      <c r="AZ114" s="1" t="s">
        <v>113</v>
      </c>
      <c r="BA114" s="1" t="s">
        <v>113</v>
      </c>
      <c r="BB114" s="1" t="s">
        <v>125</v>
      </c>
      <c r="BC114" s="1" t="s">
        <v>166</v>
      </c>
      <c r="BD114" s="1">
        <v>0</v>
      </c>
      <c r="BE114" s="1">
        <v>100</v>
      </c>
      <c r="BF114" s="1" t="s">
        <v>167</v>
      </c>
      <c r="BG114" s="1" t="s">
        <v>383</v>
      </c>
      <c r="BH114" s="1" t="s">
        <v>569</v>
      </c>
      <c r="BI114" s="1" t="s">
        <v>569</v>
      </c>
      <c r="BJ114" s="1" t="s">
        <v>208</v>
      </c>
      <c r="BK114" s="1">
        <v>90</v>
      </c>
      <c r="BL114" s="1" t="s">
        <v>167</v>
      </c>
      <c r="BM114" s="1" t="s">
        <v>386</v>
      </c>
      <c r="BN114" s="1">
        <v>12</v>
      </c>
      <c r="BO114" s="1">
        <v>0</v>
      </c>
      <c r="BP114" s="1" t="s">
        <v>124</v>
      </c>
      <c r="BQ114" s="1" t="s">
        <v>1746</v>
      </c>
      <c r="BR114" s="1" t="s">
        <v>1748</v>
      </c>
      <c r="BS114" s="1" t="s">
        <v>1749</v>
      </c>
      <c r="BT114" s="1" t="s">
        <v>172</v>
      </c>
      <c r="BU114" s="1" t="s">
        <v>239</v>
      </c>
      <c r="BV114" s="1" t="s">
        <v>765</v>
      </c>
      <c r="BW114" s="1" t="s">
        <v>134</v>
      </c>
      <c r="BX114" s="1" t="s">
        <v>114</v>
      </c>
      <c r="BY114" s="1" t="s">
        <v>299</v>
      </c>
      <c r="BZ114" s="1" t="s">
        <v>676</v>
      </c>
      <c r="CA114" s="1">
        <v>0</v>
      </c>
      <c r="CB114" s="1" t="s">
        <v>244</v>
      </c>
      <c r="CC114" s="1" t="s">
        <v>177</v>
      </c>
      <c r="CD114" s="1">
        <v>0</v>
      </c>
      <c r="CE114" s="1" t="s">
        <v>179</v>
      </c>
      <c r="CF114" s="1">
        <v>213776.94</v>
      </c>
      <c r="CG114" s="1">
        <v>250000</v>
      </c>
      <c r="CH114" s="1">
        <v>0</v>
      </c>
      <c r="CI114" s="1">
        <v>0</v>
      </c>
      <c r="CJ114" s="1">
        <v>0</v>
      </c>
      <c r="CK114" s="1">
        <v>250000</v>
      </c>
      <c r="CL114" s="1">
        <v>0</v>
      </c>
      <c r="CM114" s="1">
        <v>0</v>
      </c>
      <c r="CN114" s="1">
        <v>100000</v>
      </c>
      <c r="CO114" s="1">
        <v>0</v>
      </c>
      <c r="CP114" s="1">
        <v>0</v>
      </c>
      <c r="CQ114" s="1">
        <v>0</v>
      </c>
      <c r="CR114" s="1" t="s">
        <v>180</v>
      </c>
      <c r="CS114" s="1" t="s">
        <v>308</v>
      </c>
      <c r="CT114" s="1" t="s">
        <v>1750</v>
      </c>
      <c r="CW114" s="1" t="s">
        <v>251</v>
      </c>
      <c r="CX114" s="1" t="s">
        <v>114</v>
      </c>
      <c r="CY114" s="1" t="s">
        <v>143</v>
      </c>
      <c r="CZ114" s="1" t="s">
        <v>144</v>
      </c>
      <c r="DA114" s="1" t="s">
        <v>145</v>
      </c>
    </row>
    <row r="115" spans="1:105" s="3" customFormat="1" ht="11.25" customHeight="1" x14ac:dyDescent="0.2">
      <c r="A115" s="1">
        <v>41</v>
      </c>
      <c r="B115" s="1" t="s">
        <v>1751</v>
      </c>
      <c r="C115" s="1" t="s">
        <v>827</v>
      </c>
      <c r="D115" s="1">
        <v>101302</v>
      </c>
      <c r="E115" s="2" t="s">
        <v>4201</v>
      </c>
      <c r="F115" s="1" t="s">
        <v>113</v>
      </c>
      <c r="H115" s="1" t="s">
        <v>114</v>
      </c>
      <c r="I115" s="1" t="s">
        <v>229</v>
      </c>
      <c r="J115" s="1" t="s">
        <v>229</v>
      </c>
      <c r="L115" s="1" t="s">
        <v>111</v>
      </c>
      <c r="M115" s="1" t="s">
        <v>111</v>
      </c>
      <c r="N115" s="1" t="s">
        <v>484</v>
      </c>
      <c r="O115" s="1" t="s">
        <v>113</v>
      </c>
      <c r="P115" s="1" t="s">
        <v>113</v>
      </c>
      <c r="Q115" s="1" t="s">
        <v>152</v>
      </c>
      <c r="R115" s="1" t="s">
        <v>114</v>
      </c>
      <c r="S115" s="1" t="s">
        <v>114</v>
      </c>
      <c r="T115" s="1" t="s">
        <v>106</v>
      </c>
      <c r="U115" s="1" t="s">
        <v>114</v>
      </c>
      <c r="W115" s="1" t="s">
        <v>115</v>
      </c>
      <c r="X115" s="1" t="s">
        <v>113</v>
      </c>
      <c r="Y115" s="1" t="s">
        <v>114</v>
      </c>
      <c r="Z115" s="1">
        <v>100</v>
      </c>
      <c r="AA115" s="1" t="s">
        <v>159</v>
      </c>
      <c r="AB115" s="1" t="s">
        <v>117</v>
      </c>
      <c r="AC115" s="1" t="s">
        <v>118</v>
      </c>
      <c r="AD115" s="1">
        <v>80</v>
      </c>
      <c r="AE115" s="1" t="s">
        <v>116</v>
      </c>
      <c r="AF115" s="1">
        <v>17915</v>
      </c>
      <c r="AG115" s="1" t="s">
        <v>113</v>
      </c>
      <c r="AH115" s="1">
        <v>0</v>
      </c>
      <c r="AI115" s="1">
        <v>0</v>
      </c>
      <c r="AJ115" s="1">
        <v>0</v>
      </c>
      <c r="AK115" s="1" t="s">
        <v>119</v>
      </c>
      <c r="AL115" s="1">
        <v>0</v>
      </c>
      <c r="AM115" s="1" t="s">
        <v>120</v>
      </c>
      <c r="AN115" s="1">
        <v>0</v>
      </c>
      <c r="AO115" s="1" t="s">
        <v>113</v>
      </c>
      <c r="AP115" s="1" t="s">
        <v>113</v>
      </c>
      <c r="AQ115" s="1" t="s">
        <v>114</v>
      </c>
      <c r="AR115" s="1" t="s">
        <v>114</v>
      </c>
      <c r="AS115" s="1" t="s">
        <v>114</v>
      </c>
      <c r="AT115" s="1" t="s">
        <v>1752</v>
      </c>
      <c r="AU115" s="1" t="s">
        <v>106</v>
      </c>
      <c r="AV115" s="1" t="s">
        <v>113</v>
      </c>
      <c r="AW115" s="1" t="s">
        <v>205</v>
      </c>
      <c r="AX115" s="1" t="s">
        <v>490</v>
      </c>
      <c r="AY115" s="1">
        <v>0</v>
      </c>
      <c r="AZ115" s="1" t="s">
        <v>113</v>
      </c>
      <c r="BA115" s="1" t="s">
        <v>113</v>
      </c>
      <c r="BB115" s="1" t="s">
        <v>125</v>
      </c>
      <c r="BD115" s="1">
        <v>0</v>
      </c>
      <c r="BE115" s="1">
        <v>100</v>
      </c>
      <c r="BF115" s="1" t="s">
        <v>1206</v>
      </c>
      <c r="BG115" s="1" t="s">
        <v>116</v>
      </c>
      <c r="BH115" s="1" t="s">
        <v>168</v>
      </c>
      <c r="BI115" s="1" t="s">
        <v>569</v>
      </c>
      <c r="BJ115" s="1" t="s">
        <v>208</v>
      </c>
      <c r="BK115" s="1">
        <v>80</v>
      </c>
      <c r="BL115" s="1" t="s">
        <v>270</v>
      </c>
      <c r="BM115" s="1" t="s">
        <v>210</v>
      </c>
      <c r="BN115" s="1" t="s">
        <v>143</v>
      </c>
      <c r="BP115" s="1" t="s">
        <v>124</v>
      </c>
      <c r="BQ115" s="1" t="s">
        <v>113</v>
      </c>
      <c r="BR115" s="1" t="s">
        <v>1753</v>
      </c>
      <c r="BS115" s="1" t="s">
        <v>1754</v>
      </c>
      <c r="BT115" s="1" t="s">
        <v>172</v>
      </c>
      <c r="BU115" s="1" t="s">
        <v>239</v>
      </c>
      <c r="BV115" s="1" t="s">
        <v>987</v>
      </c>
      <c r="BW115" s="1" t="s">
        <v>134</v>
      </c>
      <c r="BX115" s="1" t="s">
        <v>135</v>
      </c>
      <c r="BY115" s="1" t="s">
        <v>135</v>
      </c>
      <c r="BZ115" s="1" t="s">
        <v>1755</v>
      </c>
      <c r="CA115" s="1">
        <v>17915</v>
      </c>
      <c r="CB115" s="1" t="s">
        <v>244</v>
      </c>
      <c r="CC115" s="1" t="s">
        <v>658</v>
      </c>
      <c r="CE115" s="1" t="s">
        <v>660</v>
      </c>
      <c r="CF115" s="1">
        <v>8566557.5600000005</v>
      </c>
      <c r="CG115" s="1">
        <v>8991528.2599999998</v>
      </c>
      <c r="CH115" s="1">
        <v>0</v>
      </c>
      <c r="CI115" s="1">
        <v>0</v>
      </c>
      <c r="CJ115" s="1">
        <v>0</v>
      </c>
      <c r="CK115" s="1">
        <v>0</v>
      </c>
      <c r="CL115" s="1">
        <v>0</v>
      </c>
      <c r="CM115" s="1">
        <v>0</v>
      </c>
      <c r="CN115" s="1">
        <v>0</v>
      </c>
      <c r="CO115" s="1">
        <v>0</v>
      </c>
      <c r="CP115" s="1">
        <v>0</v>
      </c>
      <c r="CQ115" s="1">
        <v>0</v>
      </c>
      <c r="CR115" s="1" t="s">
        <v>139</v>
      </c>
      <c r="CS115" s="1" t="s">
        <v>140</v>
      </c>
      <c r="CT115" s="1" t="s">
        <v>1756</v>
      </c>
      <c r="CV115" s="1" t="s">
        <v>310</v>
      </c>
      <c r="CW115" s="1" t="s">
        <v>184</v>
      </c>
      <c r="CX115" s="1" t="s">
        <v>114</v>
      </c>
      <c r="CY115" s="1" t="s">
        <v>114</v>
      </c>
      <c r="CZ115" s="1" t="s">
        <v>144</v>
      </c>
      <c r="DA115" s="1" t="s">
        <v>145</v>
      </c>
    </row>
    <row r="116" spans="1:105" s="3" customFormat="1" ht="11.25" customHeight="1" x14ac:dyDescent="0.2">
      <c r="A116" s="1">
        <v>41</v>
      </c>
      <c r="B116" s="1" t="s">
        <v>1758</v>
      </c>
      <c r="C116" s="1" t="s">
        <v>1757</v>
      </c>
      <c r="D116" s="1">
        <v>10861</v>
      </c>
      <c r="E116" s="2" t="s">
        <v>4201</v>
      </c>
      <c r="F116" s="1" t="s">
        <v>106</v>
      </c>
      <c r="G116" s="1" t="s">
        <v>398</v>
      </c>
      <c r="H116" s="1" t="s">
        <v>1759</v>
      </c>
      <c r="I116" s="1" t="s">
        <v>923</v>
      </c>
      <c r="J116" s="1" t="s">
        <v>113</v>
      </c>
      <c r="K116" s="1" t="s">
        <v>1760</v>
      </c>
      <c r="L116" s="1" t="s">
        <v>111</v>
      </c>
      <c r="M116" s="1" t="s">
        <v>230</v>
      </c>
      <c r="N116" s="1" t="s">
        <v>1761</v>
      </c>
      <c r="O116" s="1" t="s">
        <v>106</v>
      </c>
      <c r="P116" s="1" t="s">
        <v>113</v>
      </c>
      <c r="Q116" s="1" t="s">
        <v>195</v>
      </c>
      <c r="R116" s="1" t="s">
        <v>127</v>
      </c>
      <c r="S116" s="1" t="s">
        <v>127</v>
      </c>
      <c r="T116" s="1" t="s">
        <v>106</v>
      </c>
      <c r="U116" s="1" t="s">
        <v>127</v>
      </c>
      <c r="V116" s="1" t="s">
        <v>1762</v>
      </c>
      <c r="W116" s="1" t="s">
        <v>115</v>
      </c>
      <c r="X116" s="1" t="s">
        <v>113</v>
      </c>
      <c r="Y116" s="1" t="s">
        <v>127</v>
      </c>
      <c r="Z116" s="1">
        <v>100</v>
      </c>
      <c r="AA116" s="1" t="s">
        <v>159</v>
      </c>
      <c r="AB116" s="1" t="s">
        <v>128</v>
      </c>
      <c r="AC116" s="1" t="s">
        <v>118</v>
      </c>
      <c r="AD116" s="1">
        <v>20</v>
      </c>
      <c r="AE116" s="1" t="s">
        <v>159</v>
      </c>
      <c r="AF116" s="1">
        <v>14754</v>
      </c>
      <c r="AG116" s="1" t="s">
        <v>113</v>
      </c>
      <c r="AH116" s="1">
        <v>15</v>
      </c>
      <c r="AI116" s="1">
        <v>15</v>
      </c>
      <c r="AJ116" s="1">
        <v>70</v>
      </c>
      <c r="AK116" s="1" t="s">
        <v>200</v>
      </c>
      <c r="AL116" s="1">
        <v>15</v>
      </c>
      <c r="AM116" s="1" t="s">
        <v>120</v>
      </c>
      <c r="AN116" s="1">
        <v>0</v>
      </c>
      <c r="AO116" s="1" t="s">
        <v>113</v>
      </c>
      <c r="AP116" s="1" t="s">
        <v>106</v>
      </c>
      <c r="AQ116" s="1" t="s">
        <v>127</v>
      </c>
      <c r="AR116" s="1" t="s">
        <v>127</v>
      </c>
      <c r="AS116" s="1" t="s">
        <v>1763</v>
      </c>
      <c r="AT116" s="1" t="s">
        <v>123</v>
      </c>
      <c r="AU116" s="1" t="s">
        <v>106</v>
      </c>
      <c r="AV116" s="1" t="s">
        <v>113</v>
      </c>
      <c r="AW116" s="1" t="s">
        <v>164</v>
      </c>
      <c r="AX116" s="1" t="s">
        <v>165</v>
      </c>
      <c r="AY116" s="1">
        <v>0</v>
      </c>
      <c r="AZ116" s="1" t="s">
        <v>113</v>
      </c>
      <c r="BA116" s="1" t="s">
        <v>113</v>
      </c>
      <c r="BB116" s="1" t="s">
        <v>125</v>
      </c>
      <c r="BC116" s="1" t="s">
        <v>166</v>
      </c>
      <c r="BD116" s="1">
        <v>0</v>
      </c>
      <c r="BE116" s="1">
        <v>100</v>
      </c>
      <c r="BF116" s="1" t="s">
        <v>167</v>
      </c>
      <c r="BG116" s="1" t="s">
        <v>780</v>
      </c>
      <c r="BH116" s="1" t="s">
        <v>207</v>
      </c>
      <c r="BI116" s="1" t="s">
        <v>207</v>
      </c>
      <c r="BJ116" s="1" t="s">
        <v>208</v>
      </c>
      <c r="BK116" s="1">
        <v>20</v>
      </c>
      <c r="BL116" s="1" t="s">
        <v>270</v>
      </c>
      <c r="BM116" s="1" t="s">
        <v>781</v>
      </c>
      <c r="BN116" s="1">
        <v>8</v>
      </c>
      <c r="BO116" s="1">
        <v>3</v>
      </c>
      <c r="BP116" s="1" t="s">
        <v>115</v>
      </c>
      <c r="BQ116" s="1" t="s">
        <v>1760</v>
      </c>
      <c r="BR116" s="1" t="s">
        <v>1764</v>
      </c>
      <c r="BS116" s="1" t="s">
        <v>1765</v>
      </c>
      <c r="BT116" s="1" t="s">
        <v>172</v>
      </c>
      <c r="BU116" s="1" t="s">
        <v>1766</v>
      </c>
      <c r="BV116" s="1" t="s">
        <v>1767</v>
      </c>
      <c r="BW116" s="1" t="s">
        <v>298</v>
      </c>
      <c r="BX116" s="1" t="s">
        <v>325</v>
      </c>
      <c r="BY116" s="1" t="s">
        <v>1768</v>
      </c>
      <c r="BZ116" s="1" t="s">
        <v>127</v>
      </c>
      <c r="CA116" s="1">
        <v>150490</v>
      </c>
      <c r="CB116" s="1" t="s">
        <v>176</v>
      </c>
      <c r="CC116" s="1" t="s">
        <v>301</v>
      </c>
      <c r="CD116" s="1" t="s">
        <v>1769</v>
      </c>
      <c r="CE116" s="1" t="s">
        <v>179</v>
      </c>
      <c r="CF116" s="1">
        <v>364484.18</v>
      </c>
      <c r="CG116" s="1">
        <v>832944.89</v>
      </c>
      <c r="CH116" s="1">
        <v>0</v>
      </c>
      <c r="CI116" s="1">
        <v>217</v>
      </c>
      <c r="CJ116" s="1">
        <v>217</v>
      </c>
      <c r="CK116" s="1">
        <v>150</v>
      </c>
      <c r="CL116" s="1">
        <v>150</v>
      </c>
      <c r="CM116" s="1">
        <v>217</v>
      </c>
      <c r="CN116" s="1">
        <v>2</v>
      </c>
      <c r="CO116" s="1">
        <v>0</v>
      </c>
      <c r="CP116" s="1">
        <v>0</v>
      </c>
      <c r="CQ116" s="1">
        <v>0</v>
      </c>
      <c r="CR116" s="1" t="s">
        <v>418</v>
      </c>
      <c r="CS116" s="1" t="s">
        <v>140</v>
      </c>
      <c r="CT116" s="1" t="s">
        <v>1770</v>
      </c>
      <c r="CU116" s="1" t="s">
        <v>182</v>
      </c>
      <c r="CV116" s="1" t="s">
        <v>1771</v>
      </c>
      <c r="CW116" s="1" t="s">
        <v>284</v>
      </c>
      <c r="CX116" s="1" t="s">
        <v>1772</v>
      </c>
      <c r="CY116" s="1" t="s">
        <v>143</v>
      </c>
      <c r="CZ116" s="1" t="s">
        <v>144</v>
      </c>
      <c r="DA116" s="1" t="s">
        <v>145</v>
      </c>
    </row>
    <row r="117" spans="1:105" s="3" customFormat="1" ht="11.25" customHeight="1" x14ac:dyDescent="0.2">
      <c r="A117" s="1">
        <v>41</v>
      </c>
      <c r="B117" s="1" t="s">
        <v>1774</v>
      </c>
      <c r="C117" s="1" t="s">
        <v>1773</v>
      </c>
      <c r="D117" s="1">
        <v>2970</v>
      </c>
      <c r="E117" s="2" t="s">
        <v>4201</v>
      </c>
      <c r="F117" s="1" t="s">
        <v>113</v>
      </c>
      <c r="G117" s="1" t="s">
        <v>190</v>
      </c>
      <c r="H117" s="1" t="s">
        <v>856</v>
      </c>
      <c r="I117" s="1" t="s">
        <v>229</v>
      </c>
      <c r="J117" s="1" t="s">
        <v>229</v>
      </c>
      <c r="K117" s="1"/>
      <c r="L117" s="1" t="s">
        <v>111</v>
      </c>
      <c r="M117" s="1" t="s">
        <v>111</v>
      </c>
      <c r="N117" s="1" t="s">
        <v>112</v>
      </c>
      <c r="O117" s="1" t="s">
        <v>113</v>
      </c>
      <c r="P117" s="1" t="s">
        <v>113</v>
      </c>
      <c r="Q117" s="1" t="s">
        <v>258</v>
      </c>
      <c r="R117" s="1" t="s">
        <v>1775</v>
      </c>
      <c r="S117" s="1" t="s">
        <v>1775</v>
      </c>
      <c r="T117" s="1" t="s">
        <v>106</v>
      </c>
      <c r="U117" s="1" t="s">
        <v>373</v>
      </c>
      <c r="V117" s="1" t="s">
        <v>529</v>
      </c>
      <c r="W117" s="1" t="s">
        <v>115</v>
      </c>
      <c r="X117" s="1" t="s">
        <v>113</v>
      </c>
      <c r="Y117" s="1" t="s">
        <v>373</v>
      </c>
      <c r="Z117" s="1">
        <v>100</v>
      </c>
      <c r="AA117" s="1" t="s">
        <v>116</v>
      </c>
      <c r="AB117" s="1" t="s">
        <v>128</v>
      </c>
      <c r="AC117" s="1" t="s">
        <v>128</v>
      </c>
      <c r="AD117" s="1">
        <v>0</v>
      </c>
      <c r="AE117" s="1" t="s">
        <v>1776</v>
      </c>
      <c r="AF117" s="1">
        <v>0</v>
      </c>
      <c r="AG117" s="1" t="s">
        <v>113</v>
      </c>
      <c r="AH117" s="1">
        <v>0</v>
      </c>
      <c r="AI117" s="1">
        <v>0</v>
      </c>
      <c r="AJ117" s="1">
        <v>0</v>
      </c>
      <c r="AK117" s="1" t="s">
        <v>119</v>
      </c>
      <c r="AL117" s="1">
        <v>0</v>
      </c>
      <c r="AM117" s="1" t="s">
        <v>1777</v>
      </c>
      <c r="AN117" s="1">
        <v>0</v>
      </c>
      <c r="AO117" s="1" t="s">
        <v>113</v>
      </c>
      <c r="AP117" s="1" t="s">
        <v>106</v>
      </c>
      <c r="AQ117" s="1" t="s">
        <v>1778</v>
      </c>
      <c r="AR117" s="1" t="s">
        <v>1779</v>
      </c>
      <c r="AS117" s="1" t="s">
        <v>1780</v>
      </c>
      <c r="AT117" s="1" t="s">
        <v>628</v>
      </c>
      <c r="AU117" s="1" t="s">
        <v>113</v>
      </c>
      <c r="AV117" s="1" t="s">
        <v>113</v>
      </c>
      <c r="AW117" s="1" t="s">
        <v>164</v>
      </c>
      <c r="AX117" s="1" t="s">
        <v>206</v>
      </c>
      <c r="AY117" s="1">
        <v>0</v>
      </c>
      <c r="AZ117" s="1" t="s">
        <v>113</v>
      </c>
      <c r="BA117" s="1" t="s">
        <v>113</v>
      </c>
      <c r="BB117" s="1" t="s">
        <v>125</v>
      </c>
      <c r="BC117" s="1" t="s">
        <v>166</v>
      </c>
      <c r="BD117" s="1">
        <v>0</v>
      </c>
      <c r="BE117" s="1">
        <v>100</v>
      </c>
      <c r="BF117" s="1" t="s">
        <v>630</v>
      </c>
      <c r="BG117" s="1" t="s">
        <v>383</v>
      </c>
      <c r="BH117" s="1" t="s">
        <v>569</v>
      </c>
      <c r="BI117" s="1" t="s">
        <v>569</v>
      </c>
      <c r="BJ117" s="1" t="s">
        <v>208</v>
      </c>
      <c r="BK117" s="1">
        <v>90</v>
      </c>
      <c r="BL117" s="1" t="s">
        <v>270</v>
      </c>
      <c r="BM117" s="1" t="s">
        <v>271</v>
      </c>
      <c r="BN117" s="1">
        <v>4</v>
      </c>
      <c r="BO117" s="1">
        <v>0</v>
      </c>
      <c r="BP117" s="1" t="s">
        <v>115</v>
      </c>
      <c r="BQ117" s="1" t="s">
        <v>256</v>
      </c>
      <c r="BR117" s="1" t="s">
        <v>373</v>
      </c>
      <c r="BS117" s="1" t="s">
        <v>1781</v>
      </c>
      <c r="BT117" s="1" t="s">
        <v>172</v>
      </c>
      <c r="BU117" s="1" t="s">
        <v>132</v>
      </c>
      <c r="BV117" s="1" t="s">
        <v>1782</v>
      </c>
      <c r="BW117" s="1" t="s">
        <v>298</v>
      </c>
      <c r="BX117" s="1" t="s">
        <v>325</v>
      </c>
      <c r="BY117" s="1" t="s">
        <v>299</v>
      </c>
      <c r="BZ117" s="1" t="s">
        <v>1783</v>
      </c>
      <c r="CA117" s="1">
        <v>220</v>
      </c>
      <c r="CB117" s="1" t="s">
        <v>137</v>
      </c>
      <c r="CC117" s="1" t="s">
        <v>138</v>
      </c>
      <c r="CD117" s="1"/>
      <c r="CE117" s="1" t="s">
        <v>179</v>
      </c>
      <c r="CF117" s="1">
        <v>0</v>
      </c>
      <c r="CG117" s="1">
        <v>99390</v>
      </c>
      <c r="CH117" s="1">
        <v>422</v>
      </c>
      <c r="CI117" s="1">
        <v>422</v>
      </c>
      <c r="CJ117" s="1">
        <v>422</v>
      </c>
      <c r="CK117" s="1">
        <v>0</v>
      </c>
      <c r="CL117" s="1">
        <v>0</v>
      </c>
      <c r="CM117" s="1">
        <v>422</v>
      </c>
      <c r="CN117" s="1">
        <v>0</v>
      </c>
      <c r="CO117" s="1">
        <v>0</v>
      </c>
      <c r="CP117" s="1">
        <v>422</v>
      </c>
      <c r="CQ117" s="1">
        <v>0</v>
      </c>
      <c r="CR117" s="1" t="s">
        <v>139</v>
      </c>
      <c r="CS117" s="1" t="s">
        <v>140</v>
      </c>
      <c r="CT117" s="1" t="s">
        <v>1784</v>
      </c>
      <c r="CU117" s="1"/>
      <c r="CV117" s="1" t="s">
        <v>500</v>
      </c>
      <c r="CW117" s="1" t="s">
        <v>1785</v>
      </c>
      <c r="CX117" s="1" t="s">
        <v>114</v>
      </c>
      <c r="CY117" s="1" t="s">
        <v>143</v>
      </c>
      <c r="CZ117" s="1" t="s">
        <v>144</v>
      </c>
      <c r="DA117" s="1" t="s">
        <v>145</v>
      </c>
    </row>
    <row r="118" spans="1:105" s="3" customFormat="1" ht="11.25" customHeight="1" x14ac:dyDescent="0.2">
      <c r="A118" s="1">
        <v>41</v>
      </c>
      <c r="B118" s="1" t="s">
        <v>1787</v>
      </c>
      <c r="C118" s="1" t="s">
        <v>1786</v>
      </c>
      <c r="D118" s="1">
        <v>28970</v>
      </c>
      <c r="E118" s="2" t="s">
        <v>4201</v>
      </c>
      <c r="F118" s="1" t="s">
        <v>113</v>
      </c>
      <c r="G118" s="1" t="s">
        <v>190</v>
      </c>
      <c r="H118" s="1" t="s">
        <v>504</v>
      </c>
      <c r="I118" s="1" t="s">
        <v>229</v>
      </c>
      <c r="J118" s="1" t="s">
        <v>229</v>
      </c>
      <c r="L118" s="1" t="s">
        <v>111</v>
      </c>
      <c r="M118" s="1" t="s">
        <v>191</v>
      </c>
      <c r="N118" s="1" t="s">
        <v>112</v>
      </c>
      <c r="O118" s="1" t="s">
        <v>106</v>
      </c>
      <c r="P118" s="1" t="s">
        <v>113</v>
      </c>
      <c r="Q118" s="1" t="s">
        <v>111</v>
      </c>
      <c r="R118" s="1" t="s">
        <v>157</v>
      </c>
      <c r="S118" s="1" t="s">
        <v>157</v>
      </c>
      <c r="T118" s="1" t="s">
        <v>106</v>
      </c>
      <c r="U118" s="1" t="s">
        <v>157</v>
      </c>
      <c r="V118" s="1" t="s">
        <v>1788</v>
      </c>
      <c r="W118" s="1" t="s">
        <v>115</v>
      </c>
      <c r="X118" s="1" t="s">
        <v>113</v>
      </c>
      <c r="Y118" s="1" t="s">
        <v>157</v>
      </c>
      <c r="Z118" s="1">
        <v>100</v>
      </c>
      <c r="AA118" s="1" t="s">
        <v>116</v>
      </c>
      <c r="AB118" s="1" t="s">
        <v>128</v>
      </c>
      <c r="AC118" s="1" t="s">
        <v>118</v>
      </c>
      <c r="AD118" s="1">
        <v>20</v>
      </c>
      <c r="AE118" s="1" t="s">
        <v>116</v>
      </c>
      <c r="AF118" s="1">
        <v>4702</v>
      </c>
      <c r="AG118" s="1" t="s">
        <v>106</v>
      </c>
      <c r="AH118" s="1">
        <v>28</v>
      </c>
      <c r="AI118" s="1">
        <v>31</v>
      </c>
      <c r="AJ118" s="1">
        <v>22</v>
      </c>
      <c r="AK118" s="1" t="s">
        <v>232</v>
      </c>
      <c r="AL118" s="1">
        <v>0</v>
      </c>
      <c r="AM118" s="1" t="s">
        <v>120</v>
      </c>
      <c r="AN118" s="1">
        <v>4</v>
      </c>
      <c r="AO118" s="1" t="s">
        <v>113</v>
      </c>
      <c r="AP118" s="1" t="s">
        <v>113</v>
      </c>
      <c r="AQ118" s="1" t="s">
        <v>157</v>
      </c>
      <c r="AR118" s="1" t="s">
        <v>157</v>
      </c>
      <c r="AS118" s="1" t="s">
        <v>157</v>
      </c>
      <c r="AT118" s="1" t="s">
        <v>1752</v>
      </c>
      <c r="AU118" s="1" t="s">
        <v>113</v>
      </c>
      <c r="AV118" s="1" t="s">
        <v>113</v>
      </c>
      <c r="AW118" s="1" t="s">
        <v>234</v>
      </c>
      <c r="AX118" s="1" t="s">
        <v>206</v>
      </c>
      <c r="AY118" s="1">
        <v>1</v>
      </c>
      <c r="AZ118" s="1" t="s">
        <v>113</v>
      </c>
      <c r="BA118" s="1" t="s">
        <v>113</v>
      </c>
      <c r="BB118" s="1" t="s">
        <v>125</v>
      </c>
      <c r="BD118" s="1">
        <v>0</v>
      </c>
      <c r="BE118" s="1">
        <v>100</v>
      </c>
      <c r="BF118" s="1" t="s">
        <v>167</v>
      </c>
      <c r="BG118" s="1" t="s">
        <v>116</v>
      </c>
      <c r="BH118" s="1" t="s">
        <v>168</v>
      </c>
      <c r="BI118" s="1" t="s">
        <v>169</v>
      </c>
      <c r="BJ118" s="1" t="s">
        <v>208</v>
      </c>
      <c r="BK118" s="1">
        <v>20</v>
      </c>
      <c r="BL118" s="1" t="s">
        <v>167</v>
      </c>
      <c r="BM118" s="1" t="s">
        <v>210</v>
      </c>
      <c r="BN118" s="1">
        <v>10</v>
      </c>
      <c r="BO118" s="1">
        <v>4</v>
      </c>
      <c r="BP118" s="1" t="s">
        <v>124</v>
      </c>
      <c r="BQ118" s="1" t="s">
        <v>1789</v>
      </c>
      <c r="BR118" s="1" t="s">
        <v>1790</v>
      </c>
      <c r="BS118" s="1" t="s">
        <v>1791</v>
      </c>
      <c r="BT118" s="1" t="s">
        <v>172</v>
      </c>
      <c r="BU118" s="1" t="s">
        <v>239</v>
      </c>
      <c r="BV118" s="1" t="s">
        <v>1433</v>
      </c>
      <c r="BW118" s="1" t="s">
        <v>134</v>
      </c>
      <c r="BX118" s="1" t="s">
        <v>157</v>
      </c>
      <c r="BY118" s="1" t="s">
        <v>135</v>
      </c>
      <c r="BZ118" s="1" t="s">
        <v>1792</v>
      </c>
      <c r="CA118" s="1">
        <v>4702</v>
      </c>
      <c r="CB118" s="1" t="s">
        <v>244</v>
      </c>
      <c r="CC118" s="1" t="s">
        <v>217</v>
      </c>
      <c r="CD118" s="1" t="s">
        <v>1793</v>
      </c>
      <c r="CE118" s="1" t="s">
        <v>219</v>
      </c>
      <c r="CF118" s="1">
        <v>1814994</v>
      </c>
      <c r="CG118" s="1">
        <v>1349401.79</v>
      </c>
      <c r="CH118" s="1">
        <v>287</v>
      </c>
      <c r="CI118" s="1">
        <v>0</v>
      </c>
      <c r="CJ118" s="1">
        <v>200</v>
      </c>
      <c r="CK118" s="1">
        <v>150</v>
      </c>
      <c r="CL118" s="1">
        <v>120000</v>
      </c>
      <c r="CM118" s="1">
        <v>100</v>
      </c>
      <c r="CN118" s="1">
        <v>0</v>
      </c>
      <c r="CO118" s="1">
        <v>0</v>
      </c>
      <c r="CP118" s="1">
        <v>0</v>
      </c>
      <c r="CQ118" s="1">
        <v>0</v>
      </c>
      <c r="CR118" s="1" t="s">
        <v>139</v>
      </c>
      <c r="CS118" s="1" t="s">
        <v>140</v>
      </c>
      <c r="CT118" s="1" t="s">
        <v>1794</v>
      </c>
      <c r="CV118" s="1" t="s">
        <v>1795</v>
      </c>
      <c r="CW118" s="1" t="s">
        <v>184</v>
      </c>
      <c r="CX118" s="1" t="s">
        <v>1796</v>
      </c>
      <c r="CY118" s="1" t="s">
        <v>276</v>
      </c>
      <c r="CZ118" s="1" t="s">
        <v>144</v>
      </c>
      <c r="DA118" s="1" t="s">
        <v>145</v>
      </c>
    </row>
    <row r="119" spans="1:105" s="3" customFormat="1" ht="11.25" customHeight="1" x14ac:dyDescent="0.2">
      <c r="A119" s="1">
        <v>41</v>
      </c>
      <c r="B119" s="1" t="s">
        <v>1798</v>
      </c>
      <c r="C119" s="1" t="s">
        <v>1797</v>
      </c>
      <c r="D119" s="1">
        <v>5586</v>
      </c>
      <c r="E119" s="2" t="s">
        <v>4201</v>
      </c>
      <c r="F119" s="1" t="s">
        <v>113</v>
      </c>
      <c r="G119" s="1" t="s">
        <v>1799</v>
      </c>
      <c r="H119" s="1" t="s">
        <v>1800</v>
      </c>
      <c r="I119" s="1" t="s">
        <v>193</v>
      </c>
      <c r="J119" s="1" t="s">
        <v>113</v>
      </c>
      <c r="L119" s="1" t="s">
        <v>111</v>
      </c>
      <c r="M119" s="1" t="s">
        <v>111</v>
      </c>
      <c r="N119" s="1" t="s">
        <v>112</v>
      </c>
      <c r="O119" s="1" t="s">
        <v>113</v>
      </c>
      <c r="P119" s="1" t="s">
        <v>113</v>
      </c>
      <c r="Q119" s="1" t="s">
        <v>195</v>
      </c>
      <c r="R119" s="1" t="s">
        <v>1801</v>
      </c>
      <c r="S119" s="1" t="s">
        <v>1801</v>
      </c>
      <c r="T119" s="1" t="s">
        <v>106</v>
      </c>
      <c r="U119" s="1" t="s">
        <v>1802</v>
      </c>
      <c r="V119" s="1" t="s">
        <v>1803</v>
      </c>
      <c r="W119" s="1" t="s">
        <v>199</v>
      </c>
      <c r="X119" s="1" t="s">
        <v>113</v>
      </c>
      <c r="Y119" s="1" t="s">
        <v>114</v>
      </c>
      <c r="Z119" s="1">
        <v>100</v>
      </c>
      <c r="AA119" s="1" t="s">
        <v>116</v>
      </c>
      <c r="AB119" s="1" t="s">
        <v>128</v>
      </c>
      <c r="AC119" s="1" t="s">
        <v>118</v>
      </c>
      <c r="AD119" s="1">
        <v>50</v>
      </c>
      <c r="AE119" s="1" t="s">
        <v>116</v>
      </c>
      <c r="AF119" s="1">
        <v>240</v>
      </c>
      <c r="AG119" s="1" t="s">
        <v>106</v>
      </c>
      <c r="AH119" s="1">
        <v>30</v>
      </c>
      <c r="AI119" s="1">
        <v>50</v>
      </c>
      <c r="AJ119" s="1">
        <v>20</v>
      </c>
      <c r="AK119" s="1" t="s">
        <v>796</v>
      </c>
      <c r="AL119" s="1">
        <v>192</v>
      </c>
      <c r="AM119" s="1" t="s">
        <v>120</v>
      </c>
      <c r="AN119" s="1">
        <v>0</v>
      </c>
      <c r="AO119" s="1" t="s">
        <v>113</v>
      </c>
      <c r="AP119" s="1" t="s">
        <v>106</v>
      </c>
      <c r="AQ119" s="1" t="s">
        <v>114</v>
      </c>
      <c r="AR119" s="1" t="s">
        <v>114</v>
      </c>
      <c r="AS119" s="1" t="s">
        <v>1804</v>
      </c>
      <c r="AT119" s="1" t="s">
        <v>123</v>
      </c>
      <c r="AU119" s="1" t="s">
        <v>113</v>
      </c>
      <c r="AV119" s="1" t="s">
        <v>113</v>
      </c>
      <c r="AW119" s="1" t="s">
        <v>164</v>
      </c>
      <c r="AX119" s="1" t="s">
        <v>165</v>
      </c>
      <c r="AY119" s="1">
        <v>0</v>
      </c>
      <c r="AZ119" s="1" t="s">
        <v>113</v>
      </c>
      <c r="BA119" s="1" t="s">
        <v>113</v>
      </c>
      <c r="BB119" s="1" t="s">
        <v>125</v>
      </c>
      <c r="BC119" s="1" t="s">
        <v>166</v>
      </c>
      <c r="BD119" s="1">
        <v>0</v>
      </c>
      <c r="BE119" s="1">
        <v>0</v>
      </c>
      <c r="BF119" s="1" t="s">
        <v>127</v>
      </c>
      <c r="BG119" s="1" t="s">
        <v>127</v>
      </c>
      <c r="BH119" s="1" t="s">
        <v>168</v>
      </c>
      <c r="BI119" s="1" t="s">
        <v>207</v>
      </c>
      <c r="BJ119" s="1" t="s">
        <v>128</v>
      </c>
      <c r="BK119" s="1">
        <v>0</v>
      </c>
      <c r="BL119" s="1" t="s">
        <v>127</v>
      </c>
      <c r="BM119" s="1" t="s">
        <v>114</v>
      </c>
      <c r="BN119" s="1">
        <v>9</v>
      </c>
      <c r="BO119" s="1">
        <v>0</v>
      </c>
      <c r="BP119" s="1" t="s">
        <v>115</v>
      </c>
      <c r="BQ119" s="1" t="s">
        <v>481</v>
      </c>
      <c r="BR119" s="1" t="s">
        <v>1805</v>
      </c>
      <c r="BS119" s="1" t="s">
        <v>1806</v>
      </c>
      <c r="BT119" s="1" t="s">
        <v>172</v>
      </c>
      <c r="BU119" s="1" t="s">
        <v>132</v>
      </c>
      <c r="BV119" s="1" t="s">
        <v>817</v>
      </c>
      <c r="BW119" s="1" t="s">
        <v>298</v>
      </c>
      <c r="BX119" s="1" t="s">
        <v>325</v>
      </c>
      <c r="BY119" s="1" t="s">
        <v>299</v>
      </c>
      <c r="BZ119" s="1" t="s">
        <v>114</v>
      </c>
      <c r="CA119" s="1">
        <v>230</v>
      </c>
      <c r="CB119" s="1" t="s">
        <v>176</v>
      </c>
      <c r="CC119" s="1" t="s">
        <v>301</v>
      </c>
      <c r="CD119" s="1" t="s">
        <v>1807</v>
      </c>
      <c r="CE119" s="1" t="s">
        <v>179</v>
      </c>
      <c r="CF119" s="1">
        <v>241000</v>
      </c>
      <c r="CG119" s="1">
        <v>288000</v>
      </c>
      <c r="CH119" s="1">
        <v>150</v>
      </c>
      <c r="CI119" s="1">
        <v>390</v>
      </c>
      <c r="CJ119" s="1">
        <v>390</v>
      </c>
      <c r="CK119" s="1">
        <v>0</v>
      </c>
      <c r="CL119" s="1">
        <v>0</v>
      </c>
      <c r="CM119" s="1">
        <v>0</v>
      </c>
      <c r="CN119" s="1">
        <v>0</v>
      </c>
      <c r="CO119" s="1">
        <v>0</v>
      </c>
      <c r="CP119" s="1">
        <v>0</v>
      </c>
      <c r="CQ119" s="1">
        <v>0</v>
      </c>
      <c r="CR119" s="1" t="s">
        <v>139</v>
      </c>
      <c r="CS119" s="1" t="s">
        <v>308</v>
      </c>
      <c r="CT119" s="1" t="s">
        <v>114</v>
      </c>
      <c r="CV119" s="1" t="s">
        <v>1808</v>
      </c>
      <c r="CW119" s="1" t="s">
        <v>420</v>
      </c>
      <c r="CX119" s="1" t="s">
        <v>114</v>
      </c>
      <c r="CY119" s="1" t="s">
        <v>143</v>
      </c>
      <c r="CZ119" s="1" t="s">
        <v>144</v>
      </c>
      <c r="DA119" s="1" t="s">
        <v>145</v>
      </c>
    </row>
    <row r="120" spans="1:105" s="3" customFormat="1" ht="11.25" customHeight="1" x14ac:dyDescent="0.2">
      <c r="A120" s="1">
        <v>41</v>
      </c>
      <c r="B120" s="1" t="s">
        <v>1809</v>
      </c>
      <c r="C120" s="1" t="s">
        <v>704</v>
      </c>
      <c r="D120" s="1">
        <v>5744</v>
      </c>
      <c r="E120" s="2" t="s">
        <v>1688</v>
      </c>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4"/>
      <c r="AZ120" s="1"/>
      <c r="BA120" s="1"/>
      <c r="BB120" s="1"/>
      <c r="BC120" s="1"/>
      <c r="BD120" s="1"/>
      <c r="BE120" s="1"/>
      <c r="BF120" s="1"/>
      <c r="BG120" s="1"/>
      <c r="BI120" s="1"/>
      <c r="BJ120" s="1"/>
      <c r="BK120" s="1"/>
      <c r="BL120" s="1"/>
      <c r="BM120" s="1"/>
      <c r="BN120" s="1"/>
      <c r="BO120" s="1"/>
      <c r="BP120" s="1"/>
      <c r="BQ120" s="1"/>
      <c r="BR120" s="1"/>
      <c r="BS120" s="1"/>
      <c r="BT120" s="1"/>
      <c r="BU120" s="1"/>
      <c r="BV120" s="1"/>
      <c r="BW120" s="1"/>
      <c r="BX120" s="1"/>
      <c r="BY120" s="1"/>
      <c r="BZ120" s="1"/>
      <c r="CA120" s="4"/>
      <c r="CB120" s="1"/>
      <c r="CC120" s="1"/>
      <c r="CD120" s="1"/>
      <c r="CE120" s="1"/>
      <c r="CF120" s="1"/>
      <c r="CG120" s="1"/>
      <c r="CH120" s="1"/>
      <c r="CI120" s="1"/>
      <c r="CJ120" s="1"/>
      <c r="CK120" s="1"/>
      <c r="CL120" s="1"/>
      <c r="CM120" s="1"/>
      <c r="CN120" s="1"/>
      <c r="CO120" s="1"/>
      <c r="CP120" s="1"/>
      <c r="CQ120" s="1"/>
      <c r="CR120" s="1"/>
      <c r="CS120" s="1"/>
      <c r="CT120" s="1"/>
      <c r="CV120" s="1"/>
      <c r="CW120" s="1"/>
      <c r="CX120" s="1"/>
      <c r="CY120" s="1"/>
      <c r="CZ120" s="1"/>
      <c r="DA120" s="1"/>
    </row>
    <row r="121" spans="1:105" s="3" customFormat="1" ht="11.25" customHeight="1" x14ac:dyDescent="0.2">
      <c r="A121" s="1">
        <v>41</v>
      </c>
      <c r="B121" s="1" t="s">
        <v>1811</v>
      </c>
      <c r="C121" s="1" t="s">
        <v>1810</v>
      </c>
      <c r="D121" s="1">
        <v>32966</v>
      </c>
      <c r="E121" s="2" t="s">
        <v>4201</v>
      </c>
      <c r="F121" s="1" t="s">
        <v>113</v>
      </c>
      <c r="G121" s="1" t="s">
        <v>190</v>
      </c>
      <c r="H121" s="1" t="s">
        <v>1812</v>
      </c>
      <c r="I121" s="1" t="s">
        <v>229</v>
      </c>
      <c r="J121" s="1" t="s">
        <v>229</v>
      </c>
      <c r="L121" s="1" t="s">
        <v>149</v>
      </c>
      <c r="M121" s="1" t="s">
        <v>1813</v>
      </c>
      <c r="N121" s="1" t="s">
        <v>1814</v>
      </c>
      <c r="O121" s="1" t="s">
        <v>106</v>
      </c>
      <c r="P121" s="1" t="s">
        <v>113</v>
      </c>
      <c r="Q121" s="1" t="s">
        <v>195</v>
      </c>
      <c r="R121" s="1" t="s">
        <v>1815</v>
      </c>
      <c r="S121" s="1" t="s">
        <v>1816</v>
      </c>
      <c r="T121" s="1" t="s">
        <v>106</v>
      </c>
      <c r="U121" s="1" t="s">
        <v>1817</v>
      </c>
      <c r="V121" s="1" t="s">
        <v>1818</v>
      </c>
      <c r="W121" s="1" t="s">
        <v>755</v>
      </c>
      <c r="X121" s="1" t="s">
        <v>113</v>
      </c>
      <c r="Y121" s="1" t="s">
        <v>290</v>
      </c>
      <c r="Z121" s="1">
        <v>100</v>
      </c>
      <c r="AA121" s="1" t="s">
        <v>116</v>
      </c>
      <c r="AB121" s="1" t="s">
        <v>128</v>
      </c>
      <c r="AC121" s="1" t="s">
        <v>118</v>
      </c>
      <c r="AD121" s="1">
        <v>80</v>
      </c>
      <c r="AE121" s="1" t="s">
        <v>116</v>
      </c>
      <c r="AF121" s="1">
        <v>4800</v>
      </c>
      <c r="AG121" s="1" t="s">
        <v>106</v>
      </c>
      <c r="AH121" s="1">
        <v>80</v>
      </c>
      <c r="AI121" s="1">
        <v>15</v>
      </c>
      <c r="AJ121" s="1">
        <v>5</v>
      </c>
      <c r="AK121" s="1" t="s">
        <v>408</v>
      </c>
      <c r="AL121" s="1">
        <v>6800</v>
      </c>
      <c r="AM121" s="1" t="s">
        <v>1819</v>
      </c>
      <c r="AN121" s="1">
        <v>2800</v>
      </c>
      <c r="AO121" s="1" t="s">
        <v>113</v>
      </c>
      <c r="AP121" s="1" t="s">
        <v>113</v>
      </c>
      <c r="AQ121" s="1" t="s">
        <v>1820</v>
      </c>
      <c r="AR121" s="1" t="s">
        <v>114</v>
      </c>
      <c r="AS121" s="1" t="s">
        <v>436</v>
      </c>
      <c r="AT121" s="1" t="s">
        <v>344</v>
      </c>
      <c r="AU121" s="1" t="s">
        <v>106</v>
      </c>
      <c r="AV121" s="1" t="s">
        <v>106</v>
      </c>
      <c r="AW121" s="1" t="s">
        <v>205</v>
      </c>
      <c r="AX121" s="1" t="s">
        <v>1821</v>
      </c>
      <c r="AY121" s="1">
        <v>1200</v>
      </c>
      <c r="AZ121" s="1" t="s">
        <v>113</v>
      </c>
      <c r="BA121" s="1" t="s">
        <v>113</v>
      </c>
      <c r="BB121" s="1" t="s">
        <v>125</v>
      </c>
      <c r="BC121" s="1" t="s">
        <v>166</v>
      </c>
      <c r="BD121" s="1">
        <v>0</v>
      </c>
      <c r="BE121" s="1">
        <v>100</v>
      </c>
      <c r="BF121" s="1" t="s">
        <v>630</v>
      </c>
      <c r="BG121" s="1" t="s">
        <v>116</v>
      </c>
      <c r="BH121" s="1" t="s">
        <v>269</v>
      </c>
      <c r="BI121" s="1" t="s">
        <v>269</v>
      </c>
      <c r="BJ121" s="1" t="s">
        <v>208</v>
      </c>
      <c r="BK121" s="1">
        <v>80</v>
      </c>
      <c r="BL121" s="1" t="s">
        <v>294</v>
      </c>
      <c r="BM121" s="1" t="s">
        <v>210</v>
      </c>
      <c r="BN121" s="1">
        <v>10</v>
      </c>
      <c r="BO121" s="1">
        <v>4</v>
      </c>
      <c r="BP121" s="1" t="s">
        <v>124</v>
      </c>
      <c r="BQ121" s="1" t="s">
        <v>1822</v>
      </c>
      <c r="BR121" s="1" t="s">
        <v>1823</v>
      </c>
      <c r="BS121" s="1" t="s">
        <v>1824</v>
      </c>
      <c r="BT121" s="1" t="s">
        <v>172</v>
      </c>
      <c r="BU121" s="1" t="s">
        <v>239</v>
      </c>
      <c r="BV121" s="1" t="s">
        <v>1825</v>
      </c>
      <c r="BW121" s="1" t="s">
        <v>298</v>
      </c>
      <c r="BX121" s="1" t="s">
        <v>1669</v>
      </c>
      <c r="BY121" s="1" t="s">
        <v>241</v>
      </c>
      <c r="BZ121" s="1" t="s">
        <v>1826</v>
      </c>
      <c r="CA121" s="4">
        <v>4800</v>
      </c>
      <c r="CB121" s="1" t="s">
        <v>176</v>
      </c>
      <c r="CC121" s="1" t="s">
        <v>301</v>
      </c>
      <c r="CD121" s="1" t="s">
        <v>1827</v>
      </c>
      <c r="CE121" s="1" t="s">
        <v>219</v>
      </c>
      <c r="CF121" s="1" t="s">
        <v>1828</v>
      </c>
      <c r="CG121" s="1" t="s">
        <v>1829</v>
      </c>
      <c r="CH121" s="1" t="s">
        <v>1829</v>
      </c>
      <c r="CI121" s="1">
        <v>0</v>
      </c>
      <c r="CJ121" s="1" t="s">
        <v>1829</v>
      </c>
      <c r="CK121" s="1">
        <v>65020</v>
      </c>
      <c r="CL121" s="1">
        <v>326</v>
      </c>
      <c r="CM121" s="1">
        <v>0</v>
      </c>
      <c r="CN121" s="1">
        <v>90739347</v>
      </c>
      <c r="CO121" s="1">
        <v>90739347</v>
      </c>
      <c r="CP121" s="1">
        <v>734571725</v>
      </c>
      <c r="CQ121" s="1">
        <v>734571725</v>
      </c>
      <c r="CS121" s="1" t="s">
        <v>140</v>
      </c>
      <c r="CT121" s="1" t="s">
        <v>1830</v>
      </c>
      <c r="CU121" s="1" t="s">
        <v>182</v>
      </c>
      <c r="CV121" s="1" t="s">
        <v>1831</v>
      </c>
      <c r="CW121" s="1" t="s">
        <v>251</v>
      </c>
      <c r="CX121" s="1" t="s">
        <v>114</v>
      </c>
      <c r="CY121" s="1" t="s">
        <v>143</v>
      </c>
      <c r="CZ121" s="1" t="s">
        <v>144</v>
      </c>
      <c r="DA121" s="1" t="s">
        <v>145</v>
      </c>
    </row>
    <row r="122" spans="1:105" s="3" customFormat="1" ht="11.25" customHeight="1" x14ac:dyDescent="0.2">
      <c r="A122" s="1">
        <v>41</v>
      </c>
      <c r="B122" s="1" t="s">
        <v>1832</v>
      </c>
      <c r="C122" s="1" t="s">
        <v>1833</v>
      </c>
      <c r="D122" s="1">
        <v>5773</v>
      </c>
      <c r="E122" s="2" t="s">
        <v>1688</v>
      </c>
      <c r="F122" s="1"/>
      <c r="G122" s="1"/>
      <c r="H122" s="1"/>
      <c r="I122" s="1"/>
      <c r="J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Y122" s="1"/>
      <c r="AZ122" s="1"/>
      <c r="BA122" s="1"/>
      <c r="BB122" s="1"/>
      <c r="BC122" s="1"/>
      <c r="BD122" s="1"/>
      <c r="BE122" s="1"/>
      <c r="BF122" s="1"/>
      <c r="BG122" s="1"/>
      <c r="BH122" s="1"/>
      <c r="BI122" s="1"/>
      <c r="BJ122" s="1"/>
      <c r="BK122" s="1"/>
      <c r="BL122" s="1"/>
      <c r="BN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W122" s="1"/>
      <c r="CX122" s="1"/>
      <c r="CY122" s="1"/>
      <c r="CZ122" s="1"/>
      <c r="DA122" s="1"/>
    </row>
    <row r="123" spans="1:105" s="3" customFormat="1" ht="11.25" customHeight="1" x14ac:dyDescent="0.2">
      <c r="A123" s="1">
        <v>41</v>
      </c>
      <c r="B123" s="1" t="s">
        <v>1834</v>
      </c>
      <c r="C123" s="1" t="s">
        <v>1835</v>
      </c>
      <c r="D123" s="1">
        <v>5778</v>
      </c>
      <c r="E123" s="2" t="s">
        <v>1688</v>
      </c>
      <c r="F123" s="1"/>
      <c r="G123" s="1"/>
      <c r="H123" s="1"/>
      <c r="I123" s="1"/>
      <c r="J123" s="1"/>
      <c r="L123" s="1"/>
      <c r="M123" s="1"/>
      <c r="N123" s="1"/>
      <c r="O123" s="1"/>
      <c r="P123" s="1"/>
      <c r="Q123" s="1"/>
      <c r="R123" s="1"/>
      <c r="S123" s="1"/>
      <c r="T123" s="1"/>
      <c r="U123" s="1"/>
      <c r="W123" s="1"/>
      <c r="Z123" s="1"/>
      <c r="AA123" s="1"/>
      <c r="AB123" s="1"/>
      <c r="AC123" s="1"/>
      <c r="AD123" s="1"/>
      <c r="AE123" s="1"/>
      <c r="AF123" s="1"/>
      <c r="AG123" s="1"/>
      <c r="AH123" s="1"/>
      <c r="AK123" s="1"/>
      <c r="AM123" s="1"/>
      <c r="AN123" s="1"/>
      <c r="AP123" s="1"/>
      <c r="AQ123" s="1"/>
      <c r="AR123" s="1"/>
      <c r="AS123" s="1"/>
      <c r="AU123" s="1"/>
      <c r="AV123" s="1"/>
      <c r="AW123" s="1"/>
      <c r="AY123" s="1"/>
      <c r="AZ123" s="1"/>
      <c r="BA123" s="1"/>
      <c r="BB123" s="1"/>
      <c r="BD123" s="1"/>
      <c r="BE123" s="1"/>
      <c r="BF123" s="1"/>
      <c r="BG123" s="1"/>
      <c r="BJ123" s="1"/>
      <c r="BK123" s="1"/>
      <c r="BL123" s="1"/>
      <c r="BN123" s="1"/>
      <c r="BP123" s="1"/>
      <c r="BQ123" s="1"/>
      <c r="BR123" s="1"/>
      <c r="BS123" s="1"/>
      <c r="BT123" s="1"/>
      <c r="BU123" s="1"/>
      <c r="BV123" s="1"/>
      <c r="BW123" s="1"/>
      <c r="BX123" s="1"/>
      <c r="BY123" s="1"/>
      <c r="BZ123" s="1"/>
      <c r="CA123" s="1"/>
      <c r="CB123" s="1"/>
      <c r="CC123" s="1"/>
      <c r="CF123" s="1"/>
      <c r="CG123" s="1"/>
      <c r="CH123" s="1"/>
      <c r="CI123" s="1"/>
      <c r="CJ123" s="1"/>
      <c r="CK123" s="1"/>
      <c r="CL123" s="1"/>
      <c r="CM123" s="1"/>
      <c r="CN123" s="1"/>
      <c r="CO123" s="1"/>
      <c r="CP123" s="1"/>
      <c r="CQ123" s="1"/>
      <c r="CS123" s="1"/>
      <c r="CT123" s="1"/>
      <c r="CU123" s="1"/>
      <c r="CW123" s="1"/>
      <c r="CX123" s="1"/>
      <c r="CY123" s="1"/>
      <c r="CZ123" s="1"/>
      <c r="DA123" s="1"/>
    </row>
    <row r="124" spans="1:105" s="3" customFormat="1" ht="11.25" customHeight="1" x14ac:dyDescent="0.2">
      <c r="A124" s="1">
        <v>41</v>
      </c>
      <c r="B124" s="1" t="s">
        <v>1837</v>
      </c>
      <c r="C124" s="1" t="s">
        <v>1836</v>
      </c>
      <c r="D124" s="1">
        <v>6733</v>
      </c>
      <c r="E124" s="2" t="s">
        <v>4201</v>
      </c>
      <c r="F124" s="1" t="s">
        <v>113</v>
      </c>
      <c r="H124" s="1" t="s">
        <v>1838</v>
      </c>
      <c r="I124" s="1" t="s">
        <v>193</v>
      </c>
      <c r="J124" s="1" t="s">
        <v>229</v>
      </c>
      <c r="L124" s="1" t="s">
        <v>111</v>
      </c>
      <c r="M124" s="1" t="s">
        <v>191</v>
      </c>
      <c r="N124" s="1" t="s">
        <v>112</v>
      </c>
      <c r="O124" s="1" t="s">
        <v>113</v>
      </c>
      <c r="P124" s="1" t="s">
        <v>113</v>
      </c>
      <c r="Q124" s="1" t="s">
        <v>195</v>
      </c>
      <c r="R124" s="1" t="s">
        <v>1839</v>
      </c>
      <c r="S124" s="1" t="s">
        <v>157</v>
      </c>
      <c r="T124" s="1" t="s">
        <v>106</v>
      </c>
      <c r="U124" s="1" t="s">
        <v>1840</v>
      </c>
      <c r="V124" s="1" t="s">
        <v>1841</v>
      </c>
      <c r="W124" s="1" t="s">
        <v>755</v>
      </c>
      <c r="X124" s="1" t="s">
        <v>106</v>
      </c>
      <c r="Y124" s="1" t="s">
        <v>1840</v>
      </c>
      <c r="Z124" s="1">
        <v>100</v>
      </c>
      <c r="AA124" s="1" t="s">
        <v>132</v>
      </c>
      <c r="AB124" s="1" t="s">
        <v>128</v>
      </c>
      <c r="AC124" s="1" t="s">
        <v>118</v>
      </c>
      <c r="AD124" s="1">
        <v>10</v>
      </c>
      <c r="AE124" s="1" t="s">
        <v>132</v>
      </c>
      <c r="AF124" s="1">
        <v>6200</v>
      </c>
      <c r="AG124" s="1" t="s">
        <v>106</v>
      </c>
      <c r="AH124" s="1">
        <v>25</v>
      </c>
      <c r="AI124" s="1">
        <v>55</v>
      </c>
      <c r="AJ124" s="1">
        <v>20</v>
      </c>
      <c r="AK124" s="1" t="s">
        <v>292</v>
      </c>
      <c r="AL124" s="1">
        <v>3000</v>
      </c>
      <c r="AM124" s="1" t="s">
        <v>172</v>
      </c>
      <c r="AN124" s="1">
        <v>1500</v>
      </c>
      <c r="AO124" s="1" t="s">
        <v>113</v>
      </c>
      <c r="AP124" s="1" t="s">
        <v>113</v>
      </c>
      <c r="AQ124" s="1" t="s">
        <v>157</v>
      </c>
      <c r="AR124" s="1" t="s">
        <v>157</v>
      </c>
      <c r="AS124" s="1" t="s">
        <v>157</v>
      </c>
      <c r="AT124" s="1" t="s">
        <v>123</v>
      </c>
      <c r="AU124" s="1" t="s">
        <v>106</v>
      </c>
      <c r="AV124" s="1" t="s">
        <v>113</v>
      </c>
      <c r="AW124" s="1" t="s">
        <v>124</v>
      </c>
      <c r="AY124" s="1">
        <v>0</v>
      </c>
      <c r="AZ124" s="1" t="s">
        <v>113</v>
      </c>
      <c r="BA124" s="1" t="s">
        <v>113</v>
      </c>
      <c r="BB124" s="1" t="s">
        <v>125</v>
      </c>
      <c r="BD124" s="1">
        <v>0</v>
      </c>
      <c r="BE124" s="1">
        <v>100</v>
      </c>
      <c r="BF124" s="1" t="s">
        <v>167</v>
      </c>
      <c r="BG124" s="1" t="s">
        <v>132</v>
      </c>
      <c r="BJ124" s="1" t="s">
        <v>208</v>
      </c>
      <c r="BK124" s="1">
        <v>10</v>
      </c>
      <c r="BL124" s="1" t="s">
        <v>167</v>
      </c>
      <c r="BM124" s="1" t="s">
        <v>472</v>
      </c>
      <c r="BN124" s="1" t="s">
        <v>276</v>
      </c>
      <c r="BP124" s="1" t="s">
        <v>124</v>
      </c>
      <c r="BQ124" s="1" t="s">
        <v>1836</v>
      </c>
      <c r="BR124" s="1" t="s">
        <v>1842</v>
      </c>
      <c r="BS124" s="1" t="s">
        <v>1843</v>
      </c>
      <c r="BT124" s="1" t="s">
        <v>172</v>
      </c>
      <c r="BU124" s="1" t="s">
        <v>239</v>
      </c>
      <c r="BV124" s="1" t="s">
        <v>1844</v>
      </c>
      <c r="BW124" s="1" t="s">
        <v>134</v>
      </c>
      <c r="BX124" s="1" t="s">
        <v>175</v>
      </c>
      <c r="BY124" s="1" t="s">
        <v>299</v>
      </c>
      <c r="BZ124" s="1">
        <v>216729</v>
      </c>
      <c r="CA124" s="1">
        <v>1860</v>
      </c>
      <c r="CB124" s="1" t="s">
        <v>216</v>
      </c>
      <c r="CC124" s="1" t="s">
        <v>301</v>
      </c>
      <c r="CD124" s="1" t="s">
        <v>1845</v>
      </c>
      <c r="CE124" s="1" t="s">
        <v>179</v>
      </c>
      <c r="CF124" s="1">
        <v>1000000</v>
      </c>
      <c r="CG124" s="1">
        <v>1000000</v>
      </c>
      <c r="CH124" s="1">
        <v>100</v>
      </c>
      <c r="CI124" s="1">
        <v>0</v>
      </c>
      <c r="CJ124" s="1">
        <v>100</v>
      </c>
      <c r="CK124" s="1">
        <v>100</v>
      </c>
      <c r="CL124" s="1">
        <v>100</v>
      </c>
      <c r="CM124" s="1">
        <v>100</v>
      </c>
      <c r="CN124" s="1">
        <v>50</v>
      </c>
      <c r="CO124" s="1">
        <v>50</v>
      </c>
      <c r="CP124" s="1">
        <v>100</v>
      </c>
      <c r="CQ124" s="1">
        <v>50</v>
      </c>
      <c r="CR124" s="1" t="s">
        <v>139</v>
      </c>
      <c r="CS124" s="1" t="s">
        <v>140</v>
      </c>
      <c r="CT124" s="1" t="s">
        <v>1846</v>
      </c>
      <c r="CW124" s="1" t="s">
        <v>251</v>
      </c>
      <c r="CX124" s="1" t="s">
        <v>157</v>
      </c>
      <c r="CY124" s="1" t="s">
        <v>276</v>
      </c>
      <c r="CZ124" s="1" t="s">
        <v>144</v>
      </c>
      <c r="DA124" s="1" t="s">
        <v>145</v>
      </c>
    </row>
    <row r="125" spans="1:105" s="3" customFormat="1" ht="11.25" customHeight="1" x14ac:dyDescent="0.2">
      <c r="A125" s="1">
        <v>41</v>
      </c>
      <c r="B125" s="1" t="s">
        <v>1847</v>
      </c>
      <c r="C125" s="1" t="s">
        <v>1848</v>
      </c>
      <c r="D125" s="1">
        <v>5833</v>
      </c>
      <c r="E125" s="2" t="s">
        <v>1688</v>
      </c>
      <c r="F125" s="1"/>
      <c r="H125" s="1"/>
      <c r="I125" s="1"/>
      <c r="J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row>
    <row r="126" spans="1:105" s="3" customFormat="1" ht="11.25" customHeight="1" x14ac:dyDescent="0.2">
      <c r="A126" s="1">
        <v>41</v>
      </c>
      <c r="B126" s="1" t="s">
        <v>1850</v>
      </c>
      <c r="C126" s="1" t="s">
        <v>1849</v>
      </c>
      <c r="D126" s="1">
        <v>4792</v>
      </c>
      <c r="E126" s="2" t="s">
        <v>4201</v>
      </c>
      <c r="F126" s="1" t="s">
        <v>106</v>
      </c>
      <c r="G126" s="1" t="s">
        <v>1664</v>
      </c>
      <c r="H126" s="1" t="s">
        <v>1851</v>
      </c>
      <c r="I126" s="1" t="s">
        <v>1348</v>
      </c>
      <c r="J126" s="1" t="s">
        <v>106</v>
      </c>
      <c r="K126" s="1" t="s">
        <v>1851</v>
      </c>
      <c r="L126" s="1" t="s">
        <v>111</v>
      </c>
      <c r="M126" s="1" t="s">
        <v>230</v>
      </c>
      <c r="N126" s="1" t="s">
        <v>112</v>
      </c>
      <c r="O126" s="1" t="s">
        <v>113</v>
      </c>
      <c r="P126" s="1" t="s">
        <v>113</v>
      </c>
      <c r="Q126" s="1" t="s">
        <v>195</v>
      </c>
      <c r="R126" s="1" t="s">
        <v>1852</v>
      </c>
      <c r="S126" s="1" t="s">
        <v>127</v>
      </c>
      <c r="T126" s="1" t="s">
        <v>106</v>
      </c>
      <c r="U126" s="1" t="s">
        <v>1853</v>
      </c>
      <c r="V126" s="1" t="s">
        <v>927</v>
      </c>
      <c r="W126" s="1" t="s">
        <v>755</v>
      </c>
      <c r="X126" s="1" t="s">
        <v>113</v>
      </c>
      <c r="Y126" s="1" t="s">
        <v>1683</v>
      </c>
      <c r="Z126" s="1">
        <v>100</v>
      </c>
      <c r="AA126" s="1" t="s">
        <v>116</v>
      </c>
      <c r="AB126" s="1" t="s">
        <v>128</v>
      </c>
      <c r="AC126" s="1" t="s">
        <v>128</v>
      </c>
      <c r="AD126" s="1">
        <v>30</v>
      </c>
      <c r="AE126" s="1" t="s">
        <v>116</v>
      </c>
      <c r="AF126" s="1">
        <v>1110</v>
      </c>
      <c r="AG126" s="1" t="s">
        <v>113</v>
      </c>
      <c r="AH126" s="1">
        <v>35</v>
      </c>
      <c r="AI126" s="1">
        <v>25</v>
      </c>
      <c r="AJ126" s="1">
        <v>40</v>
      </c>
      <c r="AK126" s="1" t="s">
        <v>263</v>
      </c>
      <c r="AL126" s="1">
        <v>67</v>
      </c>
      <c r="AM126" s="1" t="s">
        <v>120</v>
      </c>
      <c r="AN126" s="1">
        <v>15</v>
      </c>
      <c r="AO126" s="1" t="s">
        <v>113</v>
      </c>
      <c r="AP126" s="1" t="s">
        <v>113</v>
      </c>
      <c r="AQ126" s="1" t="s">
        <v>127</v>
      </c>
      <c r="AR126" s="1" t="s">
        <v>127</v>
      </c>
      <c r="AS126" s="1" t="s">
        <v>127</v>
      </c>
      <c r="AT126" s="1" t="s">
        <v>1854</v>
      </c>
      <c r="AU126" s="1" t="s">
        <v>106</v>
      </c>
      <c r="AV126" s="1" t="s">
        <v>113</v>
      </c>
      <c r="AW126" s="1" t="s">
        <v>234</v>
      </c>
      <c r="AX126" s="1" t="s">
        <v>1113</v>
      </c>
      <c r="AY126" s="1">
        <v>20</v>
      </c>
      <c r="AZ126" s="1" t="s">
        <v>113</v>
      </c>
      <c r="BA126" s="1" t="s">
        <v>113</v>
      </c>
      <c r="BB126" s="1" t="s">
        <v>125</v>
      </c>
      <c r="BC126" s="1" t="s">
        <v>166</v>
      </c>
      <c r="BD126" s="1">
        <v>0</v>
      </c>
      <c r="BE126" s="1">
        <v>100</v>
      </c>
      <c r="BF126" s="1" t="s">
        <v>167</v>
      </c>
      <c r="BG126" s="1" t="s">
        <v>116</v>
      </c>
      <c r="BH126" s="1" t="s">
        <v>207</v>
      </c>
      <c r="BI126" s="1" t="s">
        <v>207</v>
      </c>
      <c r="BJ126" s="1" t="s">
        <v>208</v>
      </c>
      <c r="BK126" s="1">
        <v>25</v>
      </c>
      <c r="BL126" s="1" t="s">
        <v>270</v>
      </c>
      <c r="BM126" s="1" t="s">
        <v>210</v>
      </c>
      <c r="BN126" s="1" t="s">
        <v>143</v>
      </c>
      <c r="BO126" s="1">
        <v>6</v>
      </c>
      <c r="BP126" s="1" t="s">
        <v>115</v>
      </c>
      <c r="BQ126" s="1" t="s">
        <v>1851</v>
      </c>
      <c r="BR126" s="1" t="s">
        <v>1855</v>
      </c>
      <c r="BS126" s="1" t="s">
        <v>1856</v>
      </c>
      <c r="BT126" s="1" t="s">
        <v>172</v>
      </c>
      <c r="BU126" s="1" t="s">
        <v>173</v>
      </c>
      <c r="BV126" s="1" t="s">
        <v>275</v>
      </c>
      <c r="BW126" s="1" t="s">
        <v>134</v>
      </c>
      <c r="BX126" s="1" t="s">
        <v>767</v>
      </c>
      <c r="BY126" s="1" t="s">
        <v>135</v>
      </c>
      <c r="BZ126" s="1" t="s">
        <v>1857</v>
      </c>
      <c r="CA126" s="1">
        <v>1110</v>
      </c>
      <c r="CB126" s="1" t="s">
        <v>244</v>
      </c>
      <c r="CC126" s="1" t="s">
        <v>177</v>
      </c>
      <c r="CD126" s="1" t="s">
        <v>1858</v>
      </c>
      <c r="CE126" s="1" t="s">
        <v>219</v>
      </c>
      <c r="CF126" s="6">
        <v>94744.24</v>
      </c>
      <c r="CG126" s="6">
        <v>436742.04</v>
      </c>
      <c r="CH126" s="1">
        <v>393.39</v>
      </c>
      <c r="CI126" s="5" t="s">
        <v>220</v>
      </c>
      <c r="CJ126" s="1">
        <v>78.430000000000007</v>
      </c>
      <c r="CK126" s="6">
        <v>2624.35</v>
      </c>
      <c r="CL126" s="5" t="s">
        <v>220</v>
      </c>
      <c r="CM126" s="5" t="s">
        <v>220</v>
      </c>
      <c r="CN126" s="4">
        <v>5903</v>
      </c>
      <c r="CO126" s="5" t="s">
        <v>220</v>
      </c>
      <c r="CP126" s="5" t="s">
        <v>220</v>
      </c>
      <c r="CQ126" s="5" t="s">
        <v>220</v>
      </c>
      <c r="CR126" s="1" t="s">
        <v>139</v>
      </c>
      <c r="CS126" s="1" t="s">
        <v>140</v>
      </c>
      <c r="CT126" s="1" t="s">
        <v>1859</v>
      </c>
      <c r="CU126" s="1" t="s">
        <v>1860</v>
      </c>
      <c r="CV126" s="1" t="s">
        <v>1861</v>
      </c>
      <c r="CW126" s="1" t="s">
        <v>184</v>
      </c>
      <c r="CX126" s="1" t="s">
        <v>127</v>
      </c>
      <c r="CY126" s="1" t="s">
        <v>143</v>
      </c>
      <c r="CZ126" s="1" t="s">
        <v>144</v>
      </c>
      <c r="DA126" s="1" t="s">
        <v>145</v>
      </c>
    </row>
    <row r="127" spans="1:105" s="3" customFormat="1" ht="11.25" customHeight="1" x14ac:dyDescent="0.2">
      <c r="A127" s="1">
        <v>41</v>
      </c>
      <c r="B127" s="1" t="s">
        <v>1863</v>
      </c>
      <c r="C127" s="1" t="s">
        <v>1862</v>
      </c>
      <c r="D127" s="1">
        <v>2217</v>
      </c>
      <c r="E127" s="2" t="s">
        <v>4201</v>
      </c>
      <c r="F127" s="1" t="s">
        <v>113</v>
      </c>
      <c r="G127" s="1" t="s">
        <v>190</v>
      </c>
      <c r="H127" s="1" t="s">
        <v>1274</v>
      </c>
      <c r="I127" s="1" t="s">
        <v>229</v>
      </c>
      <c r="J127" s="1" t="s">
        <v>229</v>
      </c>
      <c r="L127" s="1" t="s">
        <v>149</v>
      </c>
      <c r="M127" s="1" t="s">
        <v>1864</v>
      </c>
      <c r="N127" s="1" t="s">
        <v>112</v>
      </c>
      <c r="O127" s="1" t="s">
        <v>113</v>
      </c>
      <c r="P127" s="1" t="s">
        <v>113</v>
      </c>
      <c r="Q127" s="1" t="s">
        <v>1298</v>
      </c>
      <c r="R127" s="1" t="s">
        <v>1865</v>
      </c>
      <c r="S127" s="1" t="s">
        <v>114</v>
      </c>
      <c r="T127" s="1" t="s">
        <v>106</v>
      </c>
      <c r="U127" s="1" t="s">
        <v>1864</v>
      </c>
      <c r="V127" s="1" t="s">
        <v>667</v>
      </c>
      <c r="W127" s="1" t="s">
        <v>115</v>
      </c>
      <c r="X127" s="1" t="s">
        <v>113</v>
      </c>
      <c r="Z127" s="1">
        <v>100</v>
      </c>
      <c r="AA127" s="1" t="s">
        <v>159</v>
      </c>
      <c r="AB127" s="1" t="s">
        <v>158</v>
      </c>
      <c r="AC127" s="1" t="s">
        <v>384</v>
      </c>
      <c r="AD127" s="1">
        <v>95</v>
      </c>
      <c r="AE127" s="1" t="s">
        <v>116</v>
      </c>
      <c r="AF127" s="1">
        <v>64523</v>
      </c>
      <c r="AG127" s="1" t="s">
        <v>106</v>
      </c>
      <c r="AH127" s="1">
        <v>59</v>
      </c>
      <c r="AI127" s="1">
        <v>34</v>
      </c>
      <c r="AJ127" s="1">
        <v>7</v>
      </c>
      <c r="AK127" s="1" t="s">
        <v>200</v>
      </c>
      <c r="AM127" s="1" t="s">
        <v>120</v>
      </c>
      <c r="AO127" s="1" t="s">
        <v>113</v>
      </c>
      <c r="AP127" s="1" t="s">
        <v>106</v>
      </c>
      <c r="AQ127" s="1" t="s">
        <v>114</v>
      </c>
      <c r="AR127" s="1" t="s">
        <v>1866</v>
      </c>
      <c r="AS127" s="1" t="s">
        <v>1867</v>
      </c>
      <c r="AT127" s="1" t="s">
        <v>344</v>
      </c>
      <c r="AU127" s="1" t="s">
        <v>106</v>
      </c>
      <c r="AV127" s="1" t="s">
        <v>113</v>
      </c>
      <c r="AW127" s="1" t="s">
        <v>234</v>
      </c>
      <c r="AX127" s="1" t="s">
        <v>550</v>
      </c>
      <c r="AY127" s="1">
        <v>0</v>
      </c>
      <c r="AZ127" s="1" t="s">
        <v>113</v>
      </c>
      <c r="BA127" s="1" t="s">
        <v>113</v>
      </c>
      <c r="BB127" s="1" t="s">
        <v>125</v>
      </c>
      <c r="BC127" s="1" t="s">
        <v>166</v>
      </c>
      <c r="BD127" s="1">
        <v>0</v>
      </c>
      <c r="BE127" s="1">
        <v>100</v>
      </c>
      <c r="BF127" s="1" t="s">
        <v>1206</v>
      </c>
      <c r="BG127" s="1" t="s">
        <v>780</v>
      </c>
      <c r="BH127" s="1" t="s">
        <v>168</v>
      </c>
      <c r="BI127" s="1" t="s">
        <v>1605</v>
      </c>
      <c r="BJ127" s="1" t="s">
        <v>384</v>
      </c>
      <c r="BK127" s="1">
        <v>95</v>
      </c>
      <c r="BL127" s="1" t="s">
        <v>167</v>
      </c>
      <c r="BM127" s="1" t="s">
        <v>210</v>
      </c>
      <c r="BN127" s="1" t="s">
        <v>143</v>
      </c>
      <c r="BP127" s="1" t="s">
        <v>115</v>
      </c>
      <c r="BQ127" s="1" t="s">
        <v>1274</v>
      </c>
      <c r="BR127" s="1" t="s">
        <v>1868</v>
      </c>
      <c r="BS127" s="1" t="s">
        <v>1869</v>
      </c>
      <c r="BT127" s="1" t="s">
        <v>172</v>
      </c>
      <c r="BU127" s="1" t="s">
        <v>1870</v>
      </c>
      <c r="BV127" s="1" t="s">
        <v>174</v>
      </c>
      <c r="BW127" s="1" t="s">
        <v>134</v>
      </c>
      <c r="BX127" s="1" t="s">
        <v>325</v>
      </c>
      <c r="BY127" s="1" t="s">
        <v>241</v>
      </c>
      <c r="BZ127" s="1" t="s">
        <v>1871</v>
      </c>
      <c r="CA127" s="1">
        <v>14130</v>
      </c>
      <c r="CB127" s="1" t="s">
        <v>176</v>
      </c>
      <c r="CC127" s="1" t="s">
        <v>177</v>
      </c>
      <c r="CD127" s="1" t="s">
        <v>1872</v>
      </c>
      <c r="CE127" s="1" t="s">
        <v>478</v>
      </c>
      <c r="CF127" s="1">
        <v>10500</v>
      </c>
      <c r="CG127" s="1">
        <v>35000</v>
      </c>
      <c r="CH127" s="1">
        <v>0</v>
      </c>
      <c r="CI127" s="1">
        <v>0</v>
      </c>
      <c r="CJ127" s="1">
        <v>0</v>
      </c>
      <c r="CK127" s="1">
        <v>0</v>
      </c>
      <c r="CL127" s="1">
        <v>0</v>
      </c>
      <c r="CM127" s="1">
        <v>0</v>
      </c>
      <c r="CN127" s="1">
        <v>0</v>
      </c>
      <c r="CO127" s="1">
        <v>0</v>
      </c>
      <c r="CP127" s="1">
        <v>0</v>
      </c>
      <c r="CQ127" s="1">
        <v>0</v>
      </c>
      <c r="CR127" s="1" t="s">
        <v>139</v>
      </c>
      <c r="CS127" s="1" t="s">
        <v>140</v>
      </c>
      <c r="CT127" s="1" t="s">
        <v>394</v>
      </c>
      <c r="CV127" s="1" t="s">
        <v>1873</v>
      </c>
      <c r="CW127" s="1" t="s">
        <v>184</v>
      </c>
      <c r="CX127" s="1" t="s">
        <v>114</v>
      </c>
      <c r="CY127" s="1" t="s">
        <v>143</v>
      </c>
      <c r="CZ127" s="1" t="s">
        <v>144</v>
      </c>
      <c r="DA127" s="1" t="s">
        <v>145</v>
      </c>
    </row>
    <row r="128" spans="1:105" s="3" customFormat="1" ht="11.25" customHeight="1" x14ac:dyDescent="0.2">
      <c r="A128" s="1">
        <v>41</v>
      </c>
      <c r="B128" s="1" t="s">
        <v>1874</v>
      </c>
      <c r="C128" s="1" t="s">
        <v>1875</v>
      </c>
      <c r="D128" s="1">
        <v>5874</v>
      </c>
      <c r="E128" s="2" t="s">
        <v>1688</v>
      </c>
      <c r="F128" s="1"/>
      <c r="G128" s="1"/>
      <c r="H128" s="1"/>
      <c r="I128" s="1"/>
      <c r="J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row>
    <row r="129" spans="1:105" s="3" customFormat="1" ht="11.25" customHeight="1" x14ac:dyDescent="0.2">
      <c r="A129" s="1">
        <v>41</v>
      </c>
      <c r="B129" s="1" t="s">
        <v>1877</v>
      </c>
      <c r="C129" s="1" t="s">
        <v>1876</v>
      </c>
      <c r="D129" s="1">
        <v>4762</v>
      </c>
      <c r="E129" s="2" t="s">
        <v>4201</v>
      </c>
      <c r="F129" s="1" t="s">
        <v>106</v>
      </c>
      <c r="G129" s="1" t="s">
        <v>1878</v>
      </c>
      <c r="H129" s="1" t="s">
        <v>1879</v>
      </c>
      <c r="I129" s="1" t="s">
        <v>1880</v>
      </c>
      <c r="J129" s="1" t="s">
        <v>113</v>
      </c>
      <c r="L129" s="1" t="s">
        <v>111</v>
      </c>
      <c r="M129" s="1" t="s">
        <v>111</v>
      </c>
      <c r="N129" s="1" t="s">
        <v>112</v>
      </c>
      <c r="O129" s="1" t="s">
        <v>106</v>
      </c>
      <c r="P129" s="1" t="s">
        <v>113</v>
      </c>
      <c r="Q129" s="1" t="s">
        <v>195</v>
      </c>
      <c r="R129" s="1" t="s">
        <v>1881</v>
      </c>
      <c r="S129" s="1" t="s">
        <v>564</v>
      </c>
      <c r="T129" s="1" t="s">
        <v>106</v>
      </c>
      <c r="U129" s="1" t="s">
        <v>564</v>
      </c>
      <c r="V129" s="1" t="s">
        <v>1882</v>
      </c>
      <c r="W129" s="1" t="s">
        <v>115</v>
      </c>
      <c r="X129" s="1" t="s">
        <v>113</v>
      </c>
      <c r="Y129" s="1" t="s">
        <v>114</v>
      </c>
      <c r="Z129" s="1">
        <v>100</v>
      </c>
      <c r="AA129" s="1" t="s">
        <v>116</v>
      </c>
      <c r="AB129" s="1" t="s">
        <v>128</v>
      </c>
      <c r="AC129" s="1" t="s">
        <v>118</v>
      </c>
      <c r="AD129" s="1">
        <v>15</v>
      </c>
      <c r="AE129" s="1" t="s">
        <v>116</v>
      </c>
      <c r="AF129" s="1">
        <v>714</v>
      </c>
      <c r="AG129" s="1" t="s">
        <v>113</v>
      </c>
      <c r="AH129" s="1">
        <v>0</v>
      </c>
      <c r="AI129" s="1">
        <v>0</v>
      </c>
      <c r="AJ129" s="1">
        <v>0</v>
      </c>
      <c r="AK129" s="1" t="s">
        <v>1235</v>
      </c>
      <c r="AL129" s="1">
        <v>0</v>
      </c>
      <c r="AM129" s="1" t="s">
        <v>1738</v>
      </c>
      <c r="AN129" s="1">
        <v>0</v>
      </c>
      <c r="AO129" s="1" t="s">
        <v>113</v>
      </c>
      <c r="AP129" s="1" t="s">
        <v>106</v>
      </c>
      <c r="AQ129" s="1" t="s">
        <v>1117</v>
      </c>
      <c r="AR129" s="1" t="s">
        <v>1883</v>
      </c>
      <c r="AS129" s="1" t="s">
        <v>1884</v>
      </c>
      <c r="AT129" s="1" t="s">
        <v>759</v>
      </c>
      <c r="AU129" s="1" t="s">
        <v>106</v>
      </c>
      <c r="AV129" s="1" t="s">
        <v>113</v>
      </c>
      <c r="AW129" s="1" t="s">
        <v>234</v>
      </c>
      <c r="AX129" s="1" t="s">
        <v>206</v>
      </c>
      <c r="AY129" s="1">
        <v>0</v>
      </c>
      <c r="AZ129" s="1" t="s">
        <v>113</v>
      </c>
      <c r="BA129" s="1" t="s">
        <v>113</v>
      </c>
      <c r="BB129" s="1" t="s">
        <v>125</v>
      </c>
      <c r="BC129" s="1" t="s">
        <v>166</v>
      </c>
      <c r="BD129" s="1">
        <v>0</v>
      </c>
      <c r="BE129" s="1">
        <v>100</v>
      </c>
      <c r="BF129" s="1" t="s">
        <v>167</v>
      </c>
      <c r="BG129" s="1" t="s">
        <v>116</v>
      </c>
      <c r="BH129" s="1" t="s">
        <v>207</v>
      </c>
      <c r="BI129" s="1" t="s">
        <v>207</v>
      </c>
      <c r="BJ129" s="1" t="s">
        <v>208</v>
      </c>
      <c r="BK129" s="1">
        <v>15</v>
      </c>
      <c r="BL129" s="1" t="s">
        <v>167</v>
      </c>
      <c r="BM129" s="1" t="s">
        <v>210</v>
      </c>
      <c r="BN129" s="5" t="s">
        <v>387</v>
      </c>
      <c r="BO129" s="1">
        <v>0</v>
      </c>
      <c r="BP129" s="1" t="s">
        <v>115</v>
      </c>
      <c r="BQ129" s="1" t="s">
        <v>1338</v>
      </c>
      <c r="BR129" s="1" t="s">
        <v>1885</v>
      </c>
      <c r="BS129" s="1" t="s">
        <v>1886</v>
      </c>
      <c r="BT129" s="1" t="s">
        <v>172</v>
      </c>
      <c r="BU129" s="1" t="s">
        <v>132</v>
      </c>
      <c r="BV129" s="1" t="s">
        <v>594</v>
      </c>
      <c r="BW129" s="1" t="s">
        <v>134</v>
      </c>
      <c r="BX129" s="1" t="s">
        <v>1887</v>
      </c>
      <c r="BY129" s="1" t="s">
        <v>135</v>
      </c>
      <c r="BZ129" s="1" t="s">
        <v>1117</v>
      </c>
      <c r="CA129" s="1">
        <v>714</v>
      </c>
      <c r="CB129" s="1" t="s">
        <v>244</v>
      </c>
      <c r="CC129" s="1" t="s">
        <v>217</v>
      </c>
      <c r="CD129" s="1" t="s">
        <v>1888</v>
      </c>
      <c r="CF129" s="1">
        <v>69789.539999999994</v>
      </c>
      <c r="CG129" s="1">
        <v>429706.36</v>
      </c>
      <c r="CH129" s="1">
        <v>250</v>
      </c>
      <c r="CI129" s="1">
        <v>199.5</v>
      </c>
      <c r="CJ129" s="1">
        <v>199.5</v>
      </c>
      <c r="CK129" s="1">
        <v>135</v>
      </c>
      <c r="CL129" s="1">
        <v>0</v>
      </c>
      <c r="CM129" s="1">
        <v>199</v>
      </c>
      <c r="CN129" s="1">
        <v>0</v>
      </c>
      <c r="CO129" s="1">
        <v>0</v>
      </c>
      <c r="CP129" s="1">
        <v>0</v>
      </c>
      <c r="CQ129" s="1">
        <v>0</v>
      </c>
      <c r="CR129" s="1" t="s">
        <v>139</v>
      </c>
      <c r="CS129" s="1" t="s">
        <v>327</v>
      </c>
      <c r="CT129" s="1" t="s">
        <v>394</v>
      </c>
      <c r="CV129" s="1" t="s">
        <v>1889</v>
      </c>
      <c r="CW129" s="1" t="s">
        <v>141</v>
      </c>
      <c r="CX129" s="1" t="s">
        <v>1890</v>
      </c>
      <c r="CY129" s="1" t="s">
        <v>143</v>
      </c>
      <c r="CZ129" s="1" t="s">
        <v>144</v>
      </c>
      <c r="DA129" s="1" t="s">
        <v>145</v>
      </c>
    </row>
    <row r="130" spans="1:105" s="3" customFormat="1" ht="11.25" customHeight="1" x14ac:dyDescent="0.2">
      <c r="A130" s="1">
        <v>41</v>
      </c>
      <c r="B130" s="1" t="s">
        <v>1891</v>
      </c>
      <c r="C130" s="1" t="s">
        <v>984</v>
      </c>
      <c r="D130" s="1">
        <v>188710</v>
      </c>
      <c r="E130" s="2" t="s">
        <v>4201</v>
      </c>
      <c r="F130" s="1" t="s">
        <v>113</v>
      </c>
      <c r="G130" s="1" t="s">
        <v>190</v>
      </c>
      <c r="H130" s="1" t="s">
        <v>1892</v>
      </c>
      <c r="I130" s="1" t="s">
        <v>229</v>
      </c>
      <c r="J130" s="1" t="s">
        <v>229</v>
      </c>
      <c r="L130" s="1" t="s">
        <v>401</v>
      </c>
      <c r="M130" s="1" t="s">
        <v>1893</v>
      </c>
      <c r="N130" s="1" t="s">
        <v>484</v>
      </c>
      <c r="O130" s="1" t="s">
        <v>106</v>
      </c>
      <c r="P130" s="1" t="s">
        <v>106</v>
      </c>
      <c r="Q130" s="1" t="s">
        <v>195</v>
      </c>
      <c r="R130" s="1" t="s">
        <v>1894</v>
      </c>
      <c r="S130" s="1" t="s">
        <v>1892</v>
      </c>
      <c r="T130" s="1" t="s">
        <v>106</v>
      </c>
      <c r="U130" s="1" t="s">
        <v>1895</v>
      </c>
      <c r="V130" s="1" t="s">
        <v>1896</v>
      </c>
      <c r="W130" s="1" t="s">
        <v>115</v>
      </c>
      <c r="X130" s="1" t="s">
        <v>113</v>
      </c>
      <c r="Y130" s="1" t="s">
        <v>127</v>
      </c>
      <c r="Z130" s="1">
        <v>100</v>
      </c>
      <c r="AA130" s="1" t="s">
        <v>1897</v>
      </c>
      <c r="AB130" s="1" t="s">
        <v>117</v>
      </c>
      <c r="AC130" s="1" t="s">
        <v>128</v>
      </c>
      <c r="AD130" s="1">
        <v>0</v>
      </c>
      <c r="AE130" s="1" t="s">
        <v>1892</v>
      </c>
      <c r="AF130" s="1">
        <v>37554</v>
      </c>
      <c r="AG130" s="1" t="s">
        <v>106</v>
      </c>
      <c r="AH130" s="1">
        <v>34</v>
      </c>
      <c r="AI130" s="1">
        <v>19</v>
      </c>
      <c r="AJ130" s="1">
        <v>47</v>
      </c>
      <c r="AK130" s="1" t="s">
        <v>530</v>
      </c>
      <c r="AL130" s="1">
        <v>483</v>
      </c>
      <c r="AM130" s="1" t="s">
        <v>172</v>
      </c>
      <c r="AN130" s="1">
        <v>483</v>
      </c>
      <c r="AO130" s="1" t="s">
        <v>113</v>
      </c>
      <c r="AP130" s="1" t="s">
        <v>113</v>
      </c>
      <c r="AQ130" s="1" t="s">
        <v>114</v>
      </c>
      <c r="AR130" s="1" t="s">
        <v>114</v>
      </c>
      <c r="AS130" s="1" t="s">
        <v>114</v>
      </c>
      <c r="AT130" s="1" t="s">
        <v>1898</v>
      </c>
      <c r="AU130" s="1" t="s">
        <v>106</v>
      </c>
      <c r="AV130" s="1" t="s">
        <v>113</v>
      </c>
      <c r="AW130" s="1" t="s">
        <v>234</v>
      </c>
      <c r="AX130" s="1" t="s">
        <v>1113</v>
      </c>
      <c r="AY130" s="1">
        <v>60</v>
      </c>
      <c r="AZ130" s="1" t="s">
        <v>106</v>
      </c>
      <c r="BA130" s="1" t="s">
        <v>113</v>
      </c>
      <c r="BB130" s="1" t="s">
        <v>761</v>
      </c>
      <c r="BC130" s="1" t="s">
        <v>1899</v>
      </c>
      <c r="BD130" s="1">
        <v>30</v>
      </c>
      <c r="BE130" s="1">
        <v>68</v>
      </c>
      <c r="BF130" s="1" t="s">
        <v>167</v>
      </c>
      <c r="BG130" s="1" t="s">
        <v>383</v>
      </c>
      <c r="BH130" s="1" t="s">
        <v>168</v>
      </c>
      <c r="BI130" s="1" t="s">
        <v>269</v>
      </c>
      <c r="BJ130" s="1" t="s">
        <v>128</v>
      </c>
      <c r="BK130" s="1">
        <v>0</v>
      </c>
      <c r="BL130" s="1" t="s">
        <v>127</v>
      </c>
      <c r="BM130" s="1" t="s">
        <v>114</v>
      </c>
      <c r="BN130" s="1">
        <v>600</v>
      </c>
      <c r="BO130" s="1" t="s">
        <v>1892</v>
      </c>
      <c r="BP130" s="1" t="s">
        <v>124</v>
      </c>
      <c r="BQ130" s="1" t="s">
        <v>1892</v>
      </c>
      <c r="BR130" s="1" t="s">
        <v>1900</v>
      </c>
      <c r="BS130" s="1" t="s">
        <v>1901</v>
      </c>
      <c r="BT130" s="1" t="s">
        <v>172</v>
      </c>
      <c r="BU130" s="1" t="s">
        <v>132</v>
      </c>
      <c r="BV130" s="1" t="s">
        <v>275</v>
      </c>
      <c r="BW130" s="1" t="s">
        <v>134</v>
      </c>
      <c r="BX130" s="1" t="s">
        <v>137</v>
      </c>
      <c r="BY130" s="1" t="s">
        <v>135</v>
      </c>
      <c r="BZ130" s="1" t="s">
        <v>1902</v>
      </c>
      <c r="CA130" s="1">
        <v>37554</v>
      </c>
      <c r="CB130" s="1" t="s">
        <v>176</v>
      </c>
      <c r="CC130" s="1" t="s">
        <v>301</v>
      </c>
      <c r="CD130" s="1" t="s">
        <v>1903</v>
      </c>
      <c r="CE130" s="1" t="s">
        <v>179</v>
      </c>
      <c r="CF130" s="6">
        <v>14680012.380000001</v>
      </c>
      <c r="CG130" s="1">
        <v>25454245.059999999</v>
      </c>
      <c r="CH130" s="1">
        <v>431.45</v>
      </c>
      <c r="CI130" s="1" t="s">
        <v>1892</v>
      </c>
      <c r="CJ130" s="1">
        <v>179.88</v>
      </c>
      <c r="CK130" s="1">
        <v>964.59</v>
      </c>
      <c r="CL130" s="1">
        <v>550</v>
      </c>
      <c r="CM130" s="1">
        <v>0</v>
      </c>
      <c r="CN130" s="1">
        <v>0</v>
      </c>
      <c r="CO130" s="1">
        <v>0</v>
      </c>
      <c r="CP130" s="1">
        <v>0</v>
      </c>
      <c r="CQ130" s="1">
        <v>0</v>
      </c>
      <c r="CR130" s="1" t="s">
        <v>139</v>
      </c>
      <c r="CS130" s="1" t="s">
        <v>140</v>
      </c>
      <c r="CT130" s="1" t="s">
        <v>1904</v>
      </c>
      <c r="CU130" s="1" t="s">
        <v>1905</v>
      </c>
      <c r="CV130" s="1" t="s">
        <v>1198</v>
      </c>
      <c r="CW130" s="1" t="s">
        <v>141</v>
      </c>
      <c r="CX130" s="1" t="s">
        <v>1906</v>
      </c>
      <c r="CY130" s="1" t="s">
        <v>1892</v>
      </c>
      <c r="CZ130" s="1" t="s">
        <v>144</v>
      </c>
      <c r="DA130" s="1" t="s">
        <v>145</v>
      </c>
    </row>
    <row r="131" spans="1:105" s="3" customFormat="1" ht="11.25" customHeight="1" x14ac:dyDescent="0.2">
      <c r="A131" s="1">
        <v>41</v>
      </c>
      <c r="B131" s="1" t="s">
        <v>1908</v>
      </c>
      <c r="C131" s="1" t="s">
        <v>1907</v>
      </c>
      <c r="D131" s="1">
        <v>7474</v>
      </c>
      <c r="E131" s="2" t="s">
        <v>4201</v>
      </c>
      <c r="F131" s="1" t="s">
        <v>113</v>
      </c>
      <c r="G131" s="1" t="s">
        <v>190</v>
      </c>
      <c r="H131" s="1" t="s">
        <v>1146</v>
      </c>
      <c r="I131" s="1" t="s">
        <v>229</v>
      </c>
      <c r="J131" s="1" t="s">
        <v>229</v>
      </c>
      <c r="L131" s="1" t="s">
        <v>111</v>
      </c>
      <c r="M131" s="1" t="s">
        <v>230</v>
      </c>
      <c r="N131" s="1" t="s">
        <v>112</v>
      </c>
      <c r="O131" s="1" t="s">
        <v>113</v>
      </c>
      <c r="P131" s="1" t="s">
        <v>113</v>
      </c>
      <c r="Q131" s="1" t="s">
        <v>195</v>
      </c>
      <c r="R131" s="1" t="s">
        <v>1909</v>
      </c>
      <c r="S131" s="1" t="s">
        <v>127</v>
      </c>
      <c r="T131" s="1" t="s">
        <v>113</v>
      </c>
      <c r="U131" s="1" t="s">
        <v>127</v>
      </c>
      <c r="V131" s="1" t="s">
        <v>1910</v>
      </c>
      <c r="W131" s="1" t="s">
        <v>115</v>
      </c>
      <c r="X131" s="1" t="s">
        <v>113</v>
      </c>
      <c r="Y131" s="1" t="s">
        <v>127</v>
      </c>
      <c r="Z131" s="1">
        <v>100</v>
      </c>
      <c r="AA131" s="1" t="s">
        <v>116</v>
      </c>
      <c r="AB131" s="1" t="s">
        <v>128</v>
      </c>
      <c r="AC131" s="1" t="s">
        <v>118</v>
      </c>
      <c r="AD131" s="1">
        <v>100</v>
      </c>
      <c r="AE131" s="1" t="s">
        <v>116</v>
      </c>
      <c r="AF131" s="4">
        <v>9500</v>
      </c>
      <c r="AG131" s="1" t="s">
        <v>113</v>
      </c>
      <c r="AH131" s="1">
        <v>0</v>
      </c>
      <c r="AI131" s="1">
        <v>0</v>
      </c>
      <c r="AJ131" s="1">
        <v>0</v>
      </c>
      <c r="AK131" s="1" t="s">
        <v>449</v>
      </c>
      <c r="AL131" s="4">
        <v>100002024</v>
      </c>
      <c r="AM131" s="1" t="s">
        <v>1911</v>
      </c>
      <c r="AN131" s="4">
        <v>10002024</v>
      </c>
      <c r="AO131" s="1" t="s">
        <v>113</v>
      </c>
      <c r="AP131" s="1" t="s">
        <v>113</v>
      </c>
      <c r="AQ131" s="1" t="s">
        <v>114</v>
      </c>
      <c r="AR131" s="1" t="s">
        <v>157</v>
      </c>
      <c r="AS131" s="1" t="s">
        <v>157</v>
      </c>
      <c r="AT131" s="1" t="s">
        <v>123</v>
      </c>
      <c r="AU131" s="1" t="s">
        <v>106</v>
      </c>
      <c r="AV131" s="1" t="s">
        <v>113</v>
      </c>
      <c r="AW131" s="1" t="s">
        <v>164</v>
      </c>
      <c r="AX131" s="1" t="s">
        <v>165</v>
      </c>
      <c r="AY131" s="1">
        <v>0</v>
      </c>
      <c r="AZ131" s="1" t="s">
        <v>113</v>
      </c>
      <c r="BA131" s="1" t="s">
        <v>113</v>
      </c>
      <c r="BB131" s="1" t="s">
        <v>125</v>
      </c>
      <c r="BC131" s="1" t="s">
        <v>166</v>
      </c>
      <c r="BD131" s="1">
        <v>0</v>
      </c>
      <c r="BE131" s="1">
        <v>100</v>
      </c>
      <c r="BF131" s="1" t="s">
        <v>167</v>
      </c>
      <c r="BG131" s="1" t="s">
        <v>116</v>
      </c>
      <c r="BH131" s="1" t="s">
        <v>269</v>
      </c>
      <c r="BI131" s="1" t="s">
        <v>269</v>
      </c>
      <c r="BJ131" s="1" t="s">
        <v>384</v>
      </c>
      <c r="BK131" s="1">
        <v>100</v>
      </c>
      <c r="BL131" s="1" t="s">
        <v>270</v>
      </c>
      <c r="BM131" s="1" t="s">
        <v>210</v>
      </c>
      <c r="BN131" s="1">
        <v>22</v>
      </c>
      <c r="BO131" s="1">
        <v>0</v>
      </c>
      <c r="BP131" s="1" t="s">
        <v>124</v>
      </c>
      <c r="BQ131" s="1" t="s">
        <v>127</v>
      </c>
      <c r="BR131" s="1" t="s">
        <v>1912</v>
      </c>
      <c r="BS131" s="1" t="s">
        <v>1913</v>
      </c>
      <c r="BT131" s="1" t="s">
        <v>1635</v>
      </c>
      <c r="BU131" s="1" t="s">
        <v>239</v>
      </c>
      <c r="BV131" s="1" t="s">
        <v>1914</v>
      </c>
      <c r="BW131" s="1" t="s">
        <v>298</v>
      </c>
      <c r="BX131" s="1" t="s">
        <v>325</v>
      </c>
      <c r="BY131" s="1" t="s">
        <v>299</v>
      </c>
      <c r="BZ131" s="1" t="s">
        <v>127</v>
      </c>
      <c r="CA131" s="4">
        <v>100002024</v>
      </c>
      <c r="CB131" s="1" t="s">
        <v>244</v>
      </c>
      <c r="CC131" s="1" t="s">
        <v>177</v>
      </c>
      <c r="CE131" s="1" t="s">
        <v>179</v>
      </c>
      <c r="CF131" s="1">
        <v>100</v>
      </c>
      <c r="CG131" s="1">
        <v>1000000</v>
      </c>
      <c r="CH131" s="1">
        <v>5000</v>
      </c>
      <c r="CI131" s="1">
        <v>18000</v>
      </c>
      <c r="CJ131" s="1">
        <v>2500</v>
      </c>
      <c r="CK131" s="1">
        <v>45000</v>
      </c>
      <c r="CL131" s="1">
        <v>45000</v>
      </c>
      <c r="CM131" s="1">
        <v>2500</v>
      </c>
      <c r="CN131" s="1">
        <v>61000</v>
      </c>
      <c r="CO131" s="1">
        <v>61000</v>
      </c>
      <c r="CP131" s="1">
        <v>20800</v>
      </c>
      <c r="CQ131" s="1">
        <v>20800</v>
      </c>
      <c r="CR131" s="1" t="s">
        <v>139</v>
      </c>
      <c r="CS131" s="1" t="s">
        <v>308</v>
      </c>
      <c r="CT131" s="1" t="s">
        <v>1915</v>
      </c>
      <c r="CW131" s="1" t="s">
        <v>141</v>
      </c>
      <c r="CX131" s="1" t="s">
        <v>1916</v>
      </c>
      <c r="CY131" s="1" t="s">
        <v>143</v>
      </c>
      <c r="CZ131" s="1" t="s">
        <v>144</v>
      </c>
      <c r="DA131" s="1" t="s">
        <v>145</v>
      </c>
    </row>
    <row r="132" spans="1:105" s="3" customFormat="1" ht="11.25" customHeight="1" x14ac:dyDescent="0.2">
      <c r="A132" s="1">
        <v>41</v>
      </c>
      <c r="B132" s="1" t="s">
        <v>1918</v>
      </c>
      <c r="C132" s="1" t="s">
        <v>1917</v>
      </c>
      <c r="D132" s="1">
        <v>44323</v>
      </c>
      <c r="E132" s="2" t="s">
        <v>4201</v>
      </c>
      <c r="F132" s="1" t="s">
        <v>113</v>
      </c>
      <c r="H132" s="1" t="s">
        <v>829</v>
      </c>
      <c r="I132" s="1" t="s">
        <v>229</v>
      </c>
      <c r="J132" s="1" t="s">
        <v>229</v>
      </c>
      <c r="L132" s="1" t="s">
        <v>111</v>
      </c>
      <c r="M132" s="1" t="s">
        <v>111</v>
      </c>
      <c r="N132" s="1" t="s">
        <v>112</v>
      </c>
      <c r="O132" s="1" t="s">
        <v>113</v>
      </c>
      <c r="P132" s="1" t="s">
        <v>113</v>
      </c>
      <c r="Q132" s="1" t="s">
        <v>1298</v>
      </c>
      <c r="R132" s="1" t="s">
        <v>1298</v>
      </c>
      <c r="S132" s="1" t="s">
        <v>1298</v>
      </c>
      <c r="T132" s="1" t="s">
        <v>113</v>
      </c>
      <c r="U132" s="1" t="s">
        <v>1919</v>
      </c>
      <c r="W132" s="1" t="s">
        <v>115</v>
      </c>
      <c r="X132" s="1" t="s">
        <v>113</v>
      </c>
      <c r="Y132" s="1" t="s">
        <v>114</v>
      </c>
      <c r="Z132" s="1">
        <v>100</v>
      </c>
      <c r="AA132" s="1" t="s">
        <v>132</v>
      </c>
      <c r="AB132" s="1" t="s">
        <v>128</v>
      </c>
      <c r="AC132" s="1" t="s">
        <v>118</v>
      </c>
      <c r="AD132" s="1">
        <v>65</v>
      </c>
      <c r="AE132" s="1" t="s">
        <v>132</v>
      </c>
      <c r="AF132" s="1">
        <v>20884</v>
      </c>
      <c r="AG132" s="1" t="s">
        <v>106</v>
      </c>
      <c r="AH132" s="1">
        <v>45</v>
      </c>
      <c r="AI132" s="1">
        <v>30</v>
      </c>
      <c r="AJ132" s="1">
        <v>25</v>
      </c>
      <c r="AK132" s="1" t="s">
        <v>232</v>
      </c>
      <c r="AL132" s="1">
        <v>0</v>
      </c>
      <c r="AM132" s="1" t="s">
        <v>829</v>
      </c>
      <c r="AN132" s="1">
        <v>0</v>
      </c>
      <c r="AO132" s="1" t="s">
        <v>113</v>
      </c>
      <c r="AP132" s="1" t="s">
        <v>113</v>
      </c>
      <c r="AQ132" s="1" t="s">
        <v>114</v>
      </c>
      <c r="AR132" s="1" t="s">
        <v>114</v>
      </c>
      <c r="AS132" s="1" t="s">
        <v>114</v>
      </c>
      <c r="AT132" s="1" t="s">
        <v>123</v>
      </c>
      <c r="AU132" s="1" t="s">
        <v>106</v>
      </c>
      <c r="AV132" s="1" t="s">
        <v>113</v>
      </c>
      <c r="AW132" s="1" t="s">
        <v>124</v>
      </c>
      <c r="AX132" s="1" t="s">
        <v>165</v>
      </c>
      <c r="AY132" s="1">
        <v>3993</v>
      </c>
      <c r="AZ132" s="1" t="s">
        <v>113</v>
      </c>
      <c r="BA132" s="1" t="s">
        <v>113</v>
      </c>
      <c r="BB132" s="1" t="s">
        <v>125</v>
      </c>
      <c r="BC132" s="1" t="s">
        <v>166</v>
      </c>
      <c r="BD132" s="1">
        <v>0</v>
      </c>
      <c r="BE132" s="1">
        <v>100</v>
      </c>
      <c r="BF132" s="1" t="s">
        <v>167</v>
      </c>
      <c r="BG132" s="1" t="s">
        <v>132</v>
      </c>
      <c r="BH132" s="1" t="s">
        <v>168</v>
      </c>
      <c r="BI132" s="1" t="s">
        <v>207</v>
      </c>
      <c r="BJ132" s="1" t="s">
        <v>208</v>
      </c>
      <c r="BK132" s="1">
        <v>65</v>
      </c>
      <c r="BL132" s="1" t="s">
        <v>167</v>
      </c>
      <c r="BM132" s="1" t="s">
        <v>472</v>
      </c>
      <c r="BN132" s="1" t="s">
        <v>143</v>
      </c>
      <c r="BO132" s="1" t="s">
        <v>276</v>
      </c>
      <c r="BP132" s="1" t="s">
        <v>124</v>
      </c>
      <c r="BQ132" s="1" t="s">
        <v>1917</v>
      </c>
      <c r="BR132" s="1" t="s">
        <v>1920</v>
      </c>
      <c r="BS132" s="1" t="s">
        <v>1921</v>
      </c>
      <c r="BT132" s="1" t="s">
        <v>172</v>
      </c>
      <c r="BU132" s="1" t="s">
        <v>132</v>
      </c>
      <c r="BV132" s="1" t="s">
        <v>1922</v>
      </c>
      <c r="BW132" s="1" t="s">
        <v>134</v>
      </c>
      <c r="BX132" s="1" t="s">
        <v>682</v>
      </c>
      <c r="BY132" s="1" t="s">
        <v>135</v>
      </c>
      <c r="BZ132" s="1" t="s">
        <v>1923</v>
      </c>
      <c r="CA132" s="1">
        <v>20884</v>
      </c>
      <c r="CB132" s="1" t="s">
        <v>176</v>
      </c>
      <c r="CC132" s="1" t="s">
        <v>1488</v>
      </c>
      <c r="CF132" s="1">
        <v>13628307.66</v>
      </c>
      <c r="CG132" s="6">
        <v>12783797.91</v>
      </c>
      <c r="CH132" s="1">
        <v>210</v>
      </c>
      <c r="CI132" s="1" t="s">
        <v>682</v>
      </c>
      <c r="CJ132" s="1">
        <v>98</v>
      </c>
      <c r="CK132" s="1">
        <v>1000</v>
      </c>
      <c r="CL132" s="1">
        <v>0</v>
      </c>
      <c r="CM132" s="1">
        <v>0</v>
      </c>
      <c r="CN132" s="1">
        <v>480</v>
      </c>
      <c r="CO132" s="1">
        <v>0</v>
      </c>
      <c r="CP132" s="1">
        <v>0</v>
      </c>
      <c r="CQ132" s="1">
        <v>0</v>
      </c>
      <c r="CR132" s="1" t="s">
        <v>139</v>
      </c>
      <c r="CS132" s="1" t="s">
        <v>140</v>
      </c>
      <c r="CT132" s="1" t="s">
        <v>282</v>
      </c>
      <c r="CU132" s="1" t="s">
        <v>617</v>
      </c>
      <c r="CV132" s="1" t="s">
        <v>788</v>
      </c>
      <c r="CW132" s="1" t="s">
        <v>251</v>
      </c>
      <c r="CX132" s="1" t="s">
        <v>114</v>
      </c>
      <c r="CY132" s="1" t="s">
        <v>143</v>
      </c>
      <c r="CZ132" s="1" t="s">
        <v>144</v>
      </c>
      <c r="DA132" s="1" t="s">
        <v>145</v>
      </c>
    </row>
    <row r="133" spans="1:105" s="3" customFormat="1" ht="11.25" customHeight="1" x14ac:dyDescent="0.2">
      <c r="A133" s="1">
        <v>41</v>
      </c>
      <c r="B133" s="1" t="s">
        <v>1924</v>
      </c>
      <c r="C133" s="1" t="s">
        <v>1925</v>
      </c>
      <c r="D133" s="1">
        <v>6070</v>
      </c>
      <c r="E133" s="2" t="s">
        <v>1688</v>
      </c>
      <c r="F133" s="1"/>
      <c r="G133" s="1"/>
      <c r="H133" s="1"/>
      <c r="I133" s="1"/>
      <c r="J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Y133" s="1"/>
      <c r="AZ133" s="1"/>
      <c r="BA133" s="1"/>
      <c r="BB133" s="1"/>
      <c r="BC133" s="1"/>
      <c r="BD133" s="1"/>
      <c r="BE133" s="1"/>
      <c r="BF133" s="1"/>
      <c r="BG133" s="1"/>
      <c r="BH133" s="1"/>
      <c r="BI133" s="1"/>
      <c r="BJ133" s="1"/>
      <c r="BK133" s="1"/>
      <c r="BL133" s="1"/>
      <c r="BN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W133" s="1"/>
      <c r="CX133" s="1"/>
      <c r="CY133" s="1"/>
      <c r="CZ133" s="1"/>
      <c r="DA133" s="1"/>
    </row>
    <row r="134" spans="1:105" s="3" customFormat="1" ht="11.25" customHeight="1" x14ac:dyDescent="0.2">
      <c r="A134" s="1">
        <v>41</v>
      </c>
      <c r="B134" s="1" t="s">
        <v>1927</v>
      </c>
      <c r="C134" s="1" t="s">
        <v>1926</v>
      </c>
      <c r="D134" s="1">
        <v>4872</v>
      </c>
      <c r="E134" s="2" t="s">
        <v>4201</v>
      </c>
      <c r="F134" s="1" t="s">
        <v>113</v>
      </c>
      <c r="G134" s="1" t="s">
        <v>190</v>
      </c>
      <c r="H134" s="1" t="s">
        <v>1928</v>
      </c>
      <c r="I134" s="1" t="s">
        <v>229</v>
      </c>
      <c r="J134" s="1" t="s">
        <v>229</v>
      </c>
      <c r="L134" s="1" t="s">
        <v>111</v>
      </c>
      <c r="M134" s="1" t="s">
        <v>111</v>
      </c>
      <c r="N134" s="1" t="s">
        <v>112</v>
      </c>
      <c r="O134" s="1" t="s">
        <v>113</v>
      </c>
      <c r="P134" s="1" t="s">
        <v>113</v>
      </c>
      <c r="Q134" s="1" t="s">
        <v>195</v>
      </c>
      <c r="R134" s="1" t="s">
        <v>1929</v>
      </c>
      <c r="S134" s="1" t="s">
        <v>114</v>
      </c>
      <c r="T134" s="1" t="s">
        <v>113</v>
      </c>
      <c r="U134" s="1" t="s">
        <v>114</v>
      </c>
      <c r="V134" s="1" t="s">
        <v>1930</v>
      </c>
      <c r="W134" s="1" t="s">
        <v>115</v>
      </c>
      <c r="X134" s="1" t="s">
        <v>113</v>
      </c>
      <c r="Y134" s="1" t="s">
        <v>114</v>
      </c>
      <c r="Z134" s="1">
        <v>100</v>
      </c>
      <c r="AA134" s="1" t="s">
        <v>132</v>
      </c>
      <c r="AB134" s="1" t="s">
        <v>128</v>
      </c>
      <c r="AC134" s="1" t="s">
        <v>118</v>
      </c>
      <c r="AD134" s="1">
        <v>20</v>
      </c>
      <c r="AE134" s="1" t="s">
        <v>116</v>
      </c>
      <c r="AF134" s="1">
        <v>480</v>
      </c>
      <c r="AG134" s="1" t="s">
        <v>113</v>
      </c>
      <c r="AH134" s="1">
        <v>0</v>
      </c>
      <c r="AI134" s="1">
        <v>0</v>
      </c>
      <c r="AJ134" s="1">
        <v>0</v>
      </c>
      <c r="AK134" s="1" t="s">
        <v>648</v>
      </c>
      <c r="AL134" s="1">
        <v>0</v>
      </c>
      <c r="AM134" s="1" t="s">
        <v>1931</v>
      </c>
      <c r="AN134" s="1">
        <v>0</v>
      </c>
      <c r="AO134" s="1" t="s">
        <v>113</v>
      </c>
      <c r="AP134" s="1" t="s">
        <v>113</v>
      </c>
      <c r="AQ134" s="1" t="s">
        <v>114</v>
      </c>
      <c r="AR134" s="1" t="s">
        <v>114</v>
      </c>
      <c r="AS134" s="1" t="s">
        <v>114</v>
      </c>
      <c r="AT134" s="1" t="s">
        <v>123</v>
      </c>
      <c r="AU134" s="1" t="s">
        <v>113</v>
      </c>
      <c r="AV134" s="1" t="s">
        <v>113</v>
      </c>
      <c r="AW134" s="1" t="s">
        <v>164</v>
      </c>
      <c r="AX134" s="1" t="s">
        <v>165</v>
      </c>
      <c r="AY134" s="1">
        <v>0</v>
      </c>
      <c r="AZ134" s="1" t="s">
        <v>113</v>
      </c>
      <c r="BA134" s="1" t="s">
        <v>113</v>
      </c>
      <c r="BB134" s="1" t="s">
        <v>125</v>
      </c>
      <c r="BC134" s="1" t="s">
        <v>166</v>
      </c>
      <c r="BD134" s="1">
        <v>0</v>
      </c>
      <c r="BE134" s="1">
        <v>80</v>
      </c>
      <c r="BF134" s="1" t="s">
        <v>167</v>
      </c>
      <c r="BG134" s="1" t="s">
        <v>1188</v>
      </c>
      <c r="BH134" s="1" t="s">
        <v>569</v>
      </c>
      <c r="BI134" s="1" t="s">
        <v>569</v>
      </c>
      <c r="BJ134" s="1" t="s">
        <v>128</v>
      </c>
      <c r="BK134" s="1">
        <v>0</v>
      </c>
      <c r="BL134" s="1" t="s">
        <v>127</v>
      </c>
      <c r="BM134" s="1" t="s">
        <v>114</v>
      </c>
      <c r="BN134" s="1" t="s">
        <v>143</v>
      </c>
      <c r="BO134" s="1">
        <v>0</v>
      </c>
      <c r="BP134" s="1" t="s">
        <v>115</v>
      </c>
      <c r="BQ134" s="1" t="s">
        <v>1932</v>
      </c>
      <c r="BR134" s="1" t="s">
        <v>1933</v>
      </c>
      <c r="BS134" s="1" t="s">
        <v>1934</v>
      </c>
      <c r="BT134" s="1" t="s">
        <v>131</v>
      </c>
      <c r="BU134" s="1" t="s">
        <v>132</v>
      </c>
      <c r="BV134" s="1" t="s">
        <v>1433</v>
      </c>
      <c r="BW134" s="1" t="s">
        <v>298</v>
      </c>
      <c r="BX134" s="1" t="s">
        <v>325</v>
      </c>
      <c r="BY134" s="1" t="s">
        <v>454</v>
      </c>
      <c r="BZ134" s="1" t="s">
        <v>1935</v>
      </c>
      <c r="CA134" s="1">
        <v>480</v>
      </c>
      <c r="CB134" s="1" t="s">
        <v>176</v>
      </c>
      <c r="CC134" s="1" t="s">
        <v>301</v>
      </c>
      <c r="CD134" s="1" t="s">
        <v>1936</v>
      </c>
      <c r="CE134" s="1" t="s">
        <v>478</v>
      </c>
      <c r="CF134" s="6">
        <v>225474.63</v>
      </c>
      <c r="CG134" s="6">
        <v>483566.94</v>
      </c>
      <c r="CH134" s="1">
        <v>0</v>
      </c>
      <c r="CI134" s="1">
        <v>0</v>
      </c>
      <c r="CJ134" s="1">
        <v>0</v>
      </c>
      <c r="CK134" s="1">
        <v>0</v>
      </c>
      <c r="CL134" s="4">
        <v>6127</v>
      </c>
      <c r="CM134" s="1">
        <v>0</v>
      </c>
      <c r="CN134" s="1">
        <v>0</v>
      </c>
      <c r="CO134" s="1">
        <v>0</v>
      </c>
      <c r="CP134" s="1">
        <v>0</v>
      </c>
      <c r="CQ134" s="1">
        <v>0</v>
      </c>
      <c r="CR134" s="1" t="s">
        <v>139</v>
      </c>
      <c r="CS134" s="1" t="s">
        <v>140</v>
      </c>
      <c r="CT134" s="1" t="s">
        <v>223</v>
      </c>
      <c r="CU134" s="1" t="s">
        <v>1937</v>
      </c>
      <c r="CV134" s="1" t="s">
        <v>1938</v>
      </c>
      <c r="CW134" s="1" t="s">
        <v>284</v>
      </c>
      <c r="CX134" s="1" t="s">
        <v>1939</v>
      </c>
      <c r="CY134" s="1" t="s">
        <v>143</v>
      </c>
      <c r="CZ134" s="1" t="s">
        <v>144</v>
      </c>
      <c r="DA134" s="1" t="s">
        <v>145</v>
      </c>
    </row>
    <row r="135" spans="1:105" s="3" customFormat="1" ht="11.25" customHeight="1" x14ac:dyDescent="0.2">
      <c r="A135" s="1">
        <v>41</v>
      </c>
      <c r="B135" s="1" t="s">
        <v>1941</v>
      </c>
      <c r="C135" s="1" t="s">
        <v>1940</v>
      </c>
      <c r="D135" s="1">
        <v>29440</v>
      </c>
      <c r="E135" s="2" t="s">
        <v>4201</v>
      </c>
      <c r="F135" s="1" t="s">
        <v>106</v>
      </c>
      <c r="G135" s="1" t="s">
        <v>1664</v>
      </c>
      <c r="H135" s="1" t="s">
        <v>1942</v>
      </c>
      <c r="I135" s="1" t="s">
        <v>109</v>
      </c>
      <c r="J135" s="1" t="s">
        <v>106</v>
      </c>
      <c r="K135" s="1" t="s">
        <v>1942</v>
      </c>
      <c r="L135" s="1" t="s">
        <v>1943</v>
      </c>
      <c r="M135" s="1" t="s">
        <v>1944</v>
      </c>
      <c r="N135" s="1" t="s">
        <v>112</v>
      </c>
      <c r="O135" s="1" t="s">
        <v>106</v>
      </c>
      <c r="P135" s="1" t="s">
        <v>106</v>
      </c>
      <c r="Q135" s="1" t="s">
        <v>195</v>
      </c>
      <c r="R135" s="1" t="s">
        <v>1945</v>
      </c>
      <c r="S135" s="1" t="s">
        <v>114</v>
      </c>
      <c r="T135" s="1" t="s">
        <v>106</v>
      </c>
      <c r="U135" s="1" t="s">
        <v>1946</v>
      </c>
      <c r="V135" s="1" t="s">
        <v>1947</v>
      </c>
      <c r="W135" s="1" t="s">
        <v>115</v>
      </c>
      <c r="X135" s="1" t="s">
        <v>106</v>
      </c>
      <c r="Y135" s="1" t="s">
        <v>1948</v>
      </c>
      <c r="Z135" s="1">
        <v>60</v>
      </c>
      <c r="AA135" s="1" t="s">
        <v>132</v>
      </c>
      <c r="AB135" s="1" t="s">
        <v>128</v>
      </c>
      <c r="AC135" s="1" t="s">
        <v>128</v>
      </c>
      <c r="AD135" s="1">
        <v>20</v>
      </c>
      <c r="AE135" s="1" t="s">
        <v>132</v>
      </c>
      <c r="AF135" s="1">
        <v>5042</v>
      </c>
      <c r="AG135" s="1" t="s">
        <v>113</v>
      </c>
      <c r="AH135" s="1">
        <v>0</v>
      </c>
      <c r="AI135" s="1">
        <v>0</v>
      </c>
      <c r="AJ135" s="1">
        <v>0</v>
      </c>
      <c r="AK135" s="1" t="s">
        <v>1949</v>
      </c>
      <c r="AL135" s="1">
        <v>0</v>
      </c>
      <c r="AM135" s="1" t="s">
        <v>120</v>
      </c>
      <c r="AN135" s="1">
        <v>0</v>
      </c>
      <c r="AO135" s="1" t="s">
        <v>113</v>
      </c>
      <c r="AP135" s="1" t="s">
        <v>113</v>
      </c>
      <c r="AQ135" s="1" t="s">
        <v>157</v>
      </c>
      <c r="AR135" s="1" t="s">
        <v>157</v>
      </c>
      <c r="AS135" s="1" t="s">
        <v>157</v>
      </c>
      <c r="AT135" s="1" t="s">
        <v>123</v>
      </c>
      <c r="AU135" s="1" t="s">
        <v>106</v>
      </c>
      <c r="AV135" s="1" t="s">
        <v>113</v>
      </c>
      <c r="AW135" s="1" t="s">
        <v>164</v>
      </c>
      <c r="AX135" s="1" t="s">
        <v>165</v>
      </c>
      <c r="AY135" s="1">
        <v>0</v>
      </c>
      <c r="AZ135" s="1" t="s">
        <v>113</v>
      </c>
      <c r="BA135" s="1" t="s">
        <v>113</v>
      </c>
      <c r="BB135" s="1" t="s">
        <v>125</v>
      </c>
      <c r="BC135" s="1" t="s">
        <v>166</v>
      </c>
      <c r="BD135" s="1">
        <v>0</v>
      </c>
      <c r="BE135" s="1">
        <v>60</v>
      </c>
      <c r="BF135" s="1" t="s">
        <v>167</v>
      </c>
      <c r="BG135" s="1" t="s">
        <v>268</v>
      </c>
      <c r="BH135" s="1" t="s">
        <v>269</v>
      </c>
      <c r="BI135" s="1" t="s">
        <v>269</v>
      </c>
      <c r="BJ135" s="1" t="s">
        <v>208</v>
      </c>
      <c r="BK135" s="1">
        <v>20</v>
      </c>
      <c r="BL135" s="1" t="s">
        <v>167</v>
      </c>
      <c r="BM135" s="1" t="s">
        <v>271</v>
      </c>
      <c r="BN135" s="1">
        <v>0</v>
      </c>
      <c r="BO135" s="1">
        <v>0</v>
      </c>
      <c r="BP135" s="1" t="s">
        <v>115</v>
      </c>
      <c r="BQ135" s="1" t="s">
        <v>1950</v>
      </c>
      <c r="BR135" s="1" t="s">
        <v>1951</v>
      </c>
      <c r="BS135" s="1" t="s">
        <v>1952</v>
      </c>
      <c r="BT135" s="1" t="s">
        <v>172</v>
      </c>
      <c r="BU135" s="1" t="s">
        <v>1239</v>
      </c>
      <c r="BV135" s="1" t="s">
        <v>1953</v>
      </c>
      <c r="BW135" s="1" t="s">
        <v>134</v>
      </c>
      <c r="BX135" s="1" t="s">
        <v>1954</v>
      </c>
      <c r="BY135" s="1" t="s">
        <v>135</v>
      </c>
      <c r="BZ135" s="1" t="s">
        <v>157</v>
      </c>
      <c r="CA135" s="1">
        <v>5042</v>
      </c>
      <c r="CB135" s="1" t="s">
        <v>176</v>
      </c>
      <c r="CC135" s="1" t="s">
        <v>177</v>
      </c>
      <c r="CD135" s="1">
        <v>0</v>
      </c>
      <c r="CE135" s="1" t="s">
        <v>179</v>
      </c>
      <c r="CF135" s="1">
        <v>0</v>
      </c>
      <c r="CG135" s="1">
        <v>0</v>
      </c>
      <c r="CH135" s="1">
        <v>0</v>
      </c>
      <c r="CI135" s="1">
        <v>0</v>
      </c>
      <c r="CJ135" s="1">
        <v>0</v>
      </c>
      <c r="CK135" s="1">
        <v>0</v>
      </c>
      <c r="CL135" s="1">
        <v>0</v>
      </c>
      <c r="CM135" s="1">
        <v>0</v>
      </c>
      <c r="CN135" s="1">
        <v>0</v>
      </c>
      <c r="CO135" s="1">
        <v>0</v>
      </c>
      <c r="CP135" s="1">
        <v>0</v>
      </c>
      <c r="CQ135" s="1">
        <v>0</v>
      </c>
      <c r="CR135" s="1" t="s">
        <v>139</v>
      </c>
      <c r="CS135" s="1" t="s">
        <v>140</v>
      </c>
      <c r="CT135" s="1" t="s">
        <v>157</v>
      </c>
      <c r="CV135" s="1" t="s">
        <v>157</v>
      </c>
      <c r="CW135" s="1" t="s">
        <v>284</v>
      </c>
      <c r="CX135" s="1" t="s">
        <v>157</v>
      </c>
      <c r="CY135" s="1" t="s">
        <v>276</v>
      </c>
      <c r="CZ135" s="1" t="s">
        <v>144</v>
      </c>
      <c r="DA135" s="1" t="s">
        <v>145</v>
      </c>
    </row>
    <row r="136" spans="1:105" s="3" customFormat="1" ht="11.25" customHeight="1" x14ac:dyDescent="0.2">
      <c r="A136" s="1">
        <v>41</v>
      </c>
      <c r="B136" s="1" t="s">
        <v>1955</v>
      </c>
      <c r="C136" s="1" t="s">
        <v>1956</v>
      </c>
      <c r="D136" s="1">
        <v>6235</v>
      </c>
      <c r="E136" s="2" t="s">
        <v>1688</v>
      </c>
      <c r="F136" s="1"/>
      <c r="H136" s="1"/>
      <c r="I136" s="1"/>
      <c r="J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V136" s="1"/>
      <c r="CW136" s="1"/>
      <c r="CX136" s="1"/>
      <c r="CY136" s="1"/>
      <c r="CZ136" s="1"/>
      <c r="DA136" s="1"/>
    </row>
    <row r="137" spans="1:105" s="3" customFormat="1" ht="11.25" customHeight="1" x14ac:dyDescent="0.2">
      <c r="A137" s="1">
        <v>41</v>
      </c>
      <c r="B137" s="1" t="s">
        <v>1958</v>
      </c>
      <c r="C137" s="1" t="s">
        <v>1957</v>
      </c>
      <c r="D137" s="1">
        <v>6327</v>
      </c>
      <c r="E137" s="2" t="s">
        <v>4201</v>
      </c>
      <c r="F137" s="1" t="s">
        <v>113</v>
      </c>
      <c r="G137" s="1" t="s">
        <v>190</v>
      </c>
      <c r="H137" s="1" t="s">
        <v>192</v>
      </c>
      <c r="I137" s="1" t="s">
        <v>229</v>
      </c>
      <c r="J137" s="1" t="s">
        <v>229</v>
      </c>
      <c r="L137" s="1" t="s">
        <v>1959</v>
      </c>
      <c r="M137" s="1" t="s">
        <v>1960</v>
      </c>
      <c r="N137" s="1" t="s">
        <v>1961</v>
      </c>
      <c r="O137" s="1" t="s">
        <v>106</v>
      </c>
      <c r="P137" s="1" t="s">
        <v>113</v>
      </c>
      <c r="Q137" s="1" t="s">
        <v>195</v>
      </c>
      <c r="R137" s="1" t="s">
        <v>1962</v>
      </c>
      <c r="S137" s="1" t="s">
        <v>157</v>
      </c>
      <c r="T137" s="1" t="s">
        <v>113</v>
      </c>
      <c r="U137" s="1" t="s">
        <v>157</v>
      </c>
      <c r="V137" s="1" t="s">
        <v>1963</v>
      </c>
      <c r="W137" s="1" t="s">
        <v>115</v>
      </c>
      <c r="X137" s="1" t="s">
        <v>113</v>
      </c>
      <c r="Y137" s="1" t="s">
        <v>157</v>
      </c>
      <c r="Z137" s="1">
        <v>100</v>
      </c>
      <c r="AA137" s="1" t="s">
        <v>132</v>
      </c>
      <c r="AB137" s="1" t="s">
        <v>128</v>
      </c>
      <c r="AC137" s="1" t="s">
        <v>128</v>
      </c>
      <c r="AD137" s="1">
        <v>0</v>
      </c>
      <c r="AE137" s="1" t="s">
        <v>132</v>
      </c>
      <c r="AF137" s="1">
        <v>580</v>
      </c>
      <c r="AG137" s="1" t="s">
        <v>113</v>
      </c>
      <c r="AH137" s="1">
        <v>0</v>
      </c>
      <c r="AI137" s="1">
        <v>0</v>
      </c>
      <c r="AJ137" s="1">
        <v>0</v>
      </c>
      <c r="AK137" s="1" t="s">
        <v>1964</v>
      </c>
      <c r="AL137" s="1">
        <v>280</v>
      </c>
      <c r="AM137" s="1" t="s">
        <v>120</v>
      </c>
      <c r="AN137" s="1">
        <v>280</v>
      </c>
      <c r="AO137" s="1" t="s">
        <v>113</v>
      </c>
      <c r="AP137" s="1" t="s">
        <v>106</v>
      </c>
      <c r="AQ137" s="1" t="s">
        <v>157</v>
      </c>
      <c r="AR137" s="1" t="s">
        <v>157</v>
      </c>
      <c r="AS137" s="1" t="s">
        <v>1263</v>
      </c>
      <c r="AT137" s="1" t="s">
        <v>344</v>
      </c>
      <c r="AU137" s="1" t="s">
        <v>113</v>
      </c>
      <c r="AV137" s="1" t="s">
        <v>113</v>
      </c>
      <c r="AW137" s="1" t="s">
        <v>234</v>
      </c>
      <c r="AX137" s="1" t="s">
        <v>206</v>
      </c>
      <c r="AY137" s="4">
        <v>2000</v>
      </c>
      <c r="AZ137" s="1" t="s">
        <v>113</v>
      </c>
      <c r="BA137" s="1" t="s">
        <v>113</v>
      </c>
      <c r="BB137" s="1" t="s">
        <v>761</v>
      </c>
      <c r="BC137" s="1" t="s">
        <v>206</v>
      </c>
      <c r="BD137" s="1">
        <v>0</v>
      </c>
      <c r="BE137" s="1">
        <v>100</v>
      </c>
      <c r="BF137" s="1" t="s">
        <v>167</v>
      </c>
      <c r="BG137" s="1" t="s">
        <v>268</v>
      </c>
      <c r="BH137" s="1" t="s">
        <v>169</v>
      </c>
      <c r="BI137" s="1" t="s">
        <v>169</v>
      </c>
      <c r="BJ137" s="1" t="s">
        <v>128</v>
      </c>
      <c r="BK137" s="1">
        <v>0</v>
      </c>
      <c r="BL137" s="1" t="s">
        <v>1965</v>
      </c>
      <c r="BM137" s="1" t="s">
        <v>271</v>
      </c>
      <c r="BN137" s="1">
        <v>10</v>
      </c>
      <c r="BO137" s="1">
        <v>0</v>
      </c>
      <c r="BP137" s="1" t="s">
        <v>115</v>
      </c>
      <c r="BQ137" s="1" t="s">
        <v>1966</v>
      </c>
      <c r="BR137" s="1" t="s">
        <v>157</v>
      </c>
      <c r="BS137" s="1" t="s">
        <v>1966</v>
      </c>
      <c r="BT137" s="1" t="s">
        <v>172</v>
      </c>
      <c r="BU137" s="1" t="s">
        <v>132</v>
      </c>
      <c r="BV137" s="1" t="s">
        <v>435</v>
      </c>
      <c r="BW137" s="1" t="s">
        <v>134</v>
      </c>
      <c r="BX137" s="1" t="s">
        <v>1263</v>
      </c>
      <c r="BY137" s="1" t="s">
        <v>299</v>
      </c>
      <c r="BZ137" s="1" t="s">
        <v>1263</v>
      </c>
      <c r="CA137" s="4">
        <v>2000</v>
      </c>
      <c r="CB137" s="1" t="s">
        <v>176</v>
      </c>
      <c r="CC137" s="1" t="s">
        <v>301</v>
      </c>
      <c r="CD137" s="1" t="s">
        <v>1967</v>
      </c>
      <c r="CE137" s="1" t="s">
        <v>478</v>
      </c>
      <c r="CF137" s="1" t="s">
        <v>1968</v>
      </c>
      <c r="CG137" s="1">
        <v>386464.32</v>
      </c>
      <c r="CH137" s="5" t="s">
        <v>220</v>
      </c>
      <c r="CI137" s="5" t="s">
        <v>220</v>
      </c>
      <c r="CJ137" s="5" t="s">
        <v>220</v>
      </c>
      <c r="CK137" s="1">
        <v>66980</v>
      </c>
      <c r="CL137" s="5" t="s">
        <v>220</v>
      </c>
      <c r="CM137" s="5" t="s">
        <v>220</v>
      </c>
      <c r="CN137" s="5" t="s">
        <v>220</v>
      </c>
      <c r="CO137" s="5" t="s">
        <v>220</v>
      </c>
      <c r="CP137" s="5" t="s">
        <v>220</v>
      </c>
      <c r="CQ137" s="5" t="s">
        <v>220</v>
      </c>
      <c r="CR137" s="1" t="s">
        <v>139</v>
      </c>
      <c r="CS137" s="1" t="s">
        <v>327</v>
      </c>
      <c r="CT137" s="1" t="s">
        <v>1969</v>
      </c>
      <c r="CU137" s="1" t="s">
        <v>182</v>
      </c>
      <c r="CV137" s="1" t="s">
        <v>1970</v>
      </c>
      <c r="CW137" s="1" t="s">
        <v>251</v>
      </c>
      <c r="CX137" s="1" t="s">
        <v>157</v>
      </c>
      <c r="CY137" s="1" t="s">
        <v>276</v>
      </c>
      <c r="CZ137" s="1" t="s">
        <v>144</v>
      </c>
      <c r="DA137" s="1" t="s">
        <v>145</v>
      </c>
    </row>
    <row r="138" spans="1:105" s="3" customFormat="1" ht="11.25" customHeight="1" x14ac:dyDescent="0.2">
      <c r="A138" s="3">
        <v>41</v>
      </c>
      <c r="B138" s="3" t="s">
        <v>1971</v>
      </c>
      <c r="C138" s="3" t="s">
        <v>1972</v>
      </c>
      <c r="D138" s="3">
        <v>6302</v>
      </c>
      <c r="E138" s="2" t="s">
        <v>1688</v>
      </c>
      <c r="F138" s="1"/>
      <c r="G138" s="1"/>
      <c r="H138" s="1"/>
      <c r="I138" s="1"/>
      <c r="J138" s="1"/>
      <c r="L138" s="1"/>
      <c r="M138" s="5"/>
      <c r="N138" s="1"/>
      <c r="O138" s="1"/>
      <c r="P138" s="1"/>
      <c r="Q138" s="1"/>
      <c r="R138" s="1"/>
      <c r="S138" s="1"/>
      <c r="T138" s="1"/>
      <c r="U138" s="1"/>
      <c r="V138" s="1"/>
      <c r="W138" s="1"/>
      <c r="X138" s="1"/>
      <c r="Z138" s="1"/>
      <c r="AA138" s="1"/>
      <c r="AB138" s="1"/>
      <c r="AC138" s="1"/>
      <c r="AD138" s="1"/>
      <c r="AE138" s="1"/>
      <c r="AF138" s="1"/>
      <c r="AG138" s="1"/>
      <c r="AH138" s="1"/>
      <c r="AI138" s="1"/>
      <c r="AJ138" s="1"/>
      <c r="AK138" s="1"/>
      <c r="AM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row>
    <row r="139" spans="1:105" s="3" customFormat="1" ht="11.25" customHeight="1" x14ac:dyDescent="0.2">
      <c r="A139" s="1">
        <v>41</v>
      </c>
      <c r="B139" s="1" t="s">
        <v>1974</v>
      </c>
      <c r="C139" s="1" t="s">
        <v>1973</v>
      </c>
      <c r="D139" s="1">
        <v>53054</v>
      </c>
      <c r="E139" s="2" t="s">
        <v>4201</v>
      </c>
      <c r="F139" s="1" t="s">
        <v>113</v>
      </c>
      <c r="G139" s="1" t="s">
        <v>190</v>
      </c>
      <c r="H139" s="1" t="s">
        <v>276</v>
      </c>
      <c r="I139" s="1" t="s">
        <v>229</v>
      </c>
      <c r="J139" s="1" t="s">
        <v>229</v>
      </c>
      <c r="K139" s="1" t="s">
        <v>276</v>
      </c>
      <c r="L139" s="1" t="s">
        <v>149</v>
      </c>
      <c r="M139" s="1" t="s">
        <v>1975</v>
      </c>
      <c r="N139" s="1" t="s">
        <v>1976</v>
      </c>
      <c r="O139" s="1" t="s">
        <v>113</v>
      </c>
      <c r="P139" s="1" t="s">
        <v>113</v>
      </c>
      <c r="Q139" s="1" t="s">
        <v>195</v>
      </c>
      <c r="R139" s="1" t="s">
        <v>1977</v>
      </c>
      <c r="S139" s="1" t="s">
        <v>1977</v>
      </c>
      <c r="T139" s="1" t="s">
        <v>106</v>
      </c>
      <c r="U139" s="1" t="s">
        <v>1978</v>
      </c>
      <c r="V139" s="1" t="s">
        <v>1979</v>
      </c>
      <c r="W139" s="1" t="s">
        <v>115</v>
      </c>
      <c r="X139" s="1" t="s">
        <v>113</v>
      </c>
      <c r="Y139" s="1" t="s">
        <v>114</v>
      </c>
      <c r="Z139" s="1">
        <v>100</v>
      </c>
      <c r="AA139" s="1" t="s">
        <v>132</v>
      </c>
      <c r="AB139" s="1" t="s">
        <v>128</v>
      </c>
      <c r="AC139" s="1" t="s">
        <v>384</v>
      </c>
      <c r="AD139" s="1">
        <v>100</v>
      </c>
      <c r="AE139" s="1" t="s">
        <v>159</v>
      </c>
      <c r="AF139" s="1" t="s">
        <v>1980</v>
      </c>
      <c r="AG139" s="1" t="s">
        <v>106</v>
      </c>
      <c r="AH139" s="1" t="s">
        <v>1981</v>
      </c>
      <c r="AI139" s="5" t="s">
        <v>1982</v>
      </c>
      <c r="AJ139" s="5" t="s">
        <v>1983</v>
      </c>
      <c r="AK139" s="1" t="s">
        <v>292</v>
      </c>
      <c r="AL139" s="1" t="s">
        <v>1984</v>
      </c>
      <c r="AM139" s="1" t="s">
        <v>1985</v>
      </c>
      <c r="AN139" s="1" t="s">
        <v>1984</v>
      </c>
      <c r="AO139" s="1" t="s">
        <v>113</v>
      </c>
      <c r="AP139" s="1" t="s">
        <v>113</v>
      </c>
      <c r="AQ139" s="1" t="s">
        <v>564</v>
      </c>
      <c r="AR139" s="1" t="s">
        <v>564</v>
      </c>
      <c r="AS139" s="1" t="s">
        <v>564</v>
      </c>
      <c r="AT139" s="1" t="s">
        <v>123</v>
      </c>
      <c r="AU139" s="1" t="s">
        <v>113</v>
      </c>
      <c r="AV139" s="1" t="s">
        <v>113</v>
      </c>
      <c r="AW139" s="1" t="s">
        <v>629</v>
      </c>
      <c r="AY139" s="1">
        <v>0</v>
      </c>
      <c r="AZ139" s="1" t="s">
        <v>106</v>
      </c>
      <c r="BA139" s="1" t="s">
        <v>113</v>
      </c>
      <c r="BB139" s="1" t="s">
        <v>125</v>
      </c>
      <c r="BD139" s="1">
        <v>0</v>
      </c>
      <c r="BE139" s="1">
        <v>97</v>
      </c>
      <c r="BF139" s="1" t="s">
        <v>1986</v>
      </c>
      <c r="BG139" s="1" t="s">
        <v>132</v>
      </c>
      <c r="BJ139" s="1" t="s">
        <v>128</v>
      </c>
      <c r="BK139" s="1">
        <v>0</v>
      </c>
      <c r="BL139" s="1" t="s">
        <v>127</v>
      </c>
      <c r="BM139" s="1" t="s">
        <v>114</v>
      </c>
      <c r="BN139" s="1" t="s">
        <v>276</v>
      </c>
      <c r="BP139" s="1" t="s">
        <v>115</v>
      </c>
      <c r="BQ139" s="1" t="s">
        <v>1338</v>
      </c>
      <c r="BR139" s="1" t="s">
        <v>1987</v>
      </c>
      <c r="BS139" s="1" t="s">
        <v>1988</v>
      </c>
      <c r="BT139" s="1" t="s">
        <v>172</v>
      </c>
      <c r="BU139" s="1" t="s">
        <v>132</v>
      </c>
      <c r="BV139" s="1" t="s">
        <v>1989</v>
      </c>
      <c r="BW139" s="1" t="s">
        <v>134</v>
      </c>
      <c r="BX139" s="1" t="s">
        <v>175</v>
      </c>
      <c r="BY139" s="1" t="s">
        <v>135</v>
      </c>
      <c r="BZ139" s="1" t="s">
        <v>1990</v>
      </c>
      <c r="CA139" s="1" t="s">
        <v>1980</v>
      </c>
      <c r="CB139" s="1" t="s">
        <v>176</v>
      </c>
      <c r="CC139" s="1" t="s">
        <v>658</v>
      </c>
      <c r="CD139" s="1" t="s">
        <v>1991</v>
      </c>
      <c r="CE139" s="1" t="s">
        <v>660</v>
      </c>
      <c r="CF139" s="1">
        <v>5105926.9800000004</v>
      </c>
      <c r="CG139" s="1">
        <v>5238927.51</v>
      </c>
      <c r="CH139" s="1">
        <v>292.36</v>
      </c>
      <c r="CI139" s="1">
        <v>0</v>
      </c>
      <c r="CJ139" s="1">
        <v>88.38</v>
      </c>
      <c r="CK139" s="1">
        <v>292.36</v>
      </c>
      <c r="CL139" s="1">
        <v>0</v>
      </c>
      <c r="CM139" s="1">
        <v>0</v>
      </c>
      <c r="CN139" s="1" t="s">
        <v>1992</v>
      </c>
      <c r="CO139" s="1">
        <v>88.38</v>
      </c>
      <c r="CP139" s="1" t="s">
        <v>1992</v>
      </c>
      <c r="CQ139" s="1">
        <v>0</v>
      </c>
      <c r="CR139" s="1" t="s">
        <v>139</v>
      </c>
      <c r="CS139" s="1" t="s">
        <v>1993</v>
      </c>
      <c r="CT139" s="1" t="s">
        <v>1994</v>
      </c>
      <c r="CV139" s="1" t="s">
        <v>1995</v>
      </c>
      <c r="CW139" s="1" t="s">
        <v>420</v>
      </c>
      <c r="CX139" s="1" t="s">
        <v>1996</v>
      </c>
      <c r="CY139" s="1" t="s">
        <v>1997</v>
      </c>
    </row>
    <row r="140" spans="1:105" s="3" customFormat="1" ht="11.25" customHeight="1" x14ac:dyDescent="0.2">
      <c r="A140" s="1">
        <v>41</v>
      </c>
      <c r="B140" s="1" t="s">
        <v>1999</v>
      </c>
      <c r="C140" s="1" t="s">
        <v>1998</v>
      </c>
      <c r="D140" s="1">
        <v>5599</v>
      </c>
      <c r="E140" s="2" t="s">
        <v>4201</v>
      </c>
      <c r="F140" s="1" t="s">
        <v>113</v>
      </c>
      <c r="G140" s="1" t="s">
        <v>398</v>
      </c>
      <c r="H140" s="1" t="s">
        <v>1623</v>
      </c>
      <c r="I140" s="1" t="s">
        <v>2000</v>
      </c>
      <c r="J140" s="1" t="s">
        <v>113</v>
      </c>
      <c r="K140" s="1"/>
      <c r="L140" s="1" t="s">
        <v>401</v>
      </c>
      <c r="M140" s="1" t="s">
        <v>2001</v>
      </c>
      <c r="N140" s="1" t="s">
        <v>2002</v>
      </c>
      <c r="O140" s="1" t="s">
        <v>106</v>
      </c>
      <c r="P140" s="1" t="s">
        <v>113</v>
      </c>
      <c r="Q140" s="1" t="s">
        <v>195</v>
      </c>
      <c r="R140" s="1" t="s">
        <v>2003</v>
      </c>
      <c r="S140" s="1" t="s">
        <v>157</v>
      </c>
      <c r="T140" s="1" t="s">
        <v>106</v>
      </c>
      <c r="U140" s="1" t="s">
        <v>2004</v>
      </c>
      <c r="V140" s="1" t="s">
        <v>2005</v>
      </c>
      <c r="W140" s="1" t="s">
        <v>755</v>
      </c>
      <c r="X140" s="1" t="s">
        <v>106</v>
      </c>
      <c r="Y140" s="1" t="s">
        <v>2006</v>
      </c>
      <c r="Z140" s="1">
        <v>100</v>
      </c>
      <c r="AA140" s="1" t="s">
        <v>116</v>
      </c>
      <c r="AB140" s="1" t="s">
        <v>128</v>
      </c>
      <c r="AC140" s="1" t="s">
        <v>118</v>
      </c>
      <c r="AD140" s="1">
        <v>20</v>
      </c>
      <c r="AE140" s="1" t="s">
        <v>116</v>
      </c>
      <c r="AF140" s="1">
        <v>1069</v>
      </c>
      <c r="AG140" s="1" t="s">
        <v>113</v>
      </c>
      <c r="AH140" s="1">
        <v>0</v>
      </c>
      <c r="AI140" s="1">
        <v>0</v>
      </c>
      <c r="AJ140" s="1">
        <v>0</v>
      </c>
      <c r="AK140" s="1" t="s">
        <v>796</v>
      </c>
      <c r="AL140" s="1">
        <v>2912</v>
      </c>
      <c r="AM140" s="1" t="s">
        <v>131</v>
      </c>
      <c r="AN140" s="1">
        <v>2912</v>
      </c>
      <c r="AO140" s="1" t="s">
        <v>113</v>
      </c>
      <c r="AP140" s="1" t="s">
        <v>106</v>
      </c>
      <c r="AQ140" s="1" t="s">
        <v>2007</v>
      </c>
      <c r="AR140" s="1" t="s">
        <v>2008</v>
      </c>
      <c r="AS140" s="1" t="s">
        <v>2009</v>
      </c>
      <c r="AT140" s="1" t="s">
        <v>123</v>
      </c>
      <c r="AU140" s="1" t="s">
        <v>113</v>
      </c>
      <c r="AV140" s="1" t="s">
        <v>113</v>
      </c>
      <c r="AW140" s="1" t="s">
        <v>124</v>
      </c>
      <c r="AX140" s="1"/>
      <c r="AY140" s="1">
        <v>0</v>
      </c>
      <c r="AZ140" s="1" t="s">
        <v>113</v>
      </c>
      <c r="BA140" s="1" t="s">
        <v>113</v>
      </c>
      <c r="BB140" s="1" t="s">
        <v>125</v>
      </c>
      <c r="BC140" s="1" t="s">
        <v>166</v>
      </c>
      <c r="BD140" s="1">
        <v>0</v>
      </c>
      <c r="BE140" s="1">
        <v>100</v>
      </c>
      <c r="BF140" s="1" t="s">
        <v>167</v>
      </c>
      <c r="BG140" s="1" t="s">
        <v>383</v>
      </c>
      <c r="BH140" s="1" t="s">
        <v>169</v>
      </c>
      <c r="BI140" s="1" t="s">
        <v>169</v>
      </c>
      <c r="BJ140" s="1" t="s">
        <v>208</v>
      </c>
      <c r="BK140" s="1">
        <v>20</v>
      </c>
      <c r="BL140" s="1" t="s">
        <v>294</v>
      </c>
      <c r="BM140" s="1" t="s">
        <v>386</v>
      </c>
      <c r="BN140" s="1" t="s">
        <v>143</v>
      </c>
      <c r="BO140" s="1">
        <v>8</v>
      </c>
      <c r="BP140" s="1" t="s">
        <v>115</v>
      </c>
      <c r="BQ140" s="1" t="s">
        <v>1623</v>
      </c>
      <c r="BR140" s="1" t="s">
        <v>2010</v>
      </c>
      <c r="BS140" s="1" t="s">
        <v>2011</v>
      </c>
      <c r="BT140" s="1" t="s">
        <v>172</v>
      </c>
      <c r="BU140" s="1" t="s">
        <v>132</v>
      </c>
      <c r="BV140" s="1" t="s">
        <v>2012</v>
      </c>
      <c r="BW140" s="1" t="s">
        <v>134</v>
      </c>
      <c r="BX140" s="1" t="s">
        <v>325</v>
      </c>
      <c r="BY140" s="1" t="s">
        <v>135</v>
      </c>
      <c r="BZ140" s="1" t="s">
        <v>2013</v>
      </c>
      <c r="CA140" s="1">
        <v>1069</v>
      </c>
      <c r="CB140" s="1" t="s">
        <v>244</v>
      </c>
      <c r="CC140" s="1" t="s">
        <v>177</v>
      </c>
      <c r="CD140" s="1"/>
      <c r="CE140" s="1"/>
      <c r="CF140" s="1">
        <v>250000</v>
      </c>
      <c r="CG140" s="1">
        <v>466794</v>
      </c>
      <c r="CH140" s="1">
        <v>96</v>
      </c>
      <c r="CI140" s="1">
        <v>80</v>
      </c>
      <c r="CJ140" s="1">
        <v>162</v>
      </c>
      <c r="CK140" s="1">
        <v>70</v>
      </c>
      <c r="CL140" s="1">
        <v>20</v>
      </c>
      <c r="CM140" s="1">
        <v>0</v>
      </c>
      <c r="CN140" s="1">
        <v>15</v>
      </c>
      <c r="CO140" s="1">
        <v>0</v>
      </c>
      <c r="CP140" s="1">
        <v>0</v>
      </c>
      <c r="CQ140" s="1">
        <v>0</v>
      </c>
      <c r="CR140" s="1" t="s">
        <v>418</v>
      </c>
      <c r="CS140" s="1" t="s">
        <v>140</v>
      </c>
      <c r="CT140" s="1" t="s">
        <v>479</v>
      </c>
      <c r="CU140" s="1"/>
      <c r="CV140" s="1" t="s">
        <v>907</v>
      </c>
      <c r="CW140" s="1" t="s">
        <v>2014</v>
      </c>
      <c r="CX140" s="1" t="s">
        <v>2015</v>
      </c>
      <c r="CY140" s="1">
        <v>9121</v>
      </c>
      <c r="CZ140" s="1"/>
      <c r="DA140" s="1"/>
    </row>
    <row r="141" spans="1:105" s="3" customFormat="1" ht="11.25" customHeight="1" x14ac:dyDescent="0.2">
      <c r="A141" s="3">
        <v>41</v>
      </c>
      <c r="B141" s="3" t="s">
        <v>2016</v>
      </c>
      <c r="C141" s="3" t="s">
        <v>2017</v>
      </c>
      <c r="D141" s="3">
        <v>6342</v>
      </c>
      <c r="E141" s="2" t="s">
        <v>1688</v>
      </c>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5"/>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5"/>
      <c r="CG141" s="5"/>
      <c r="CH141" s="5"/>
      <c r="CI141" s="5"/>
      <c r="CJ141" s="5"/>
      <c r="CK141" s="1"/>
      <c r="CL141" s="1"/>
      <c r="CM141" s="5"/>
      <c r="CN141" s="5"/>
      <c r="CO141" s="5"/>
      <c r="CP141" s="5"/>
      <c r="CQ141" s="5"/>
      <c r="CR141" s="1"/>
      <c r="CS141" s="1"/>
      <c r="CT141" s="1"/>
      <c r="CV141" s="1"/>
      <c r="CW141" s="1"/>
      <c r="CX141" s="1"/>
      <c r="CY141" s="1"/>
      <c r="CZ141" s="1"/>
      <c r="DA141" s="1"/>
    </row>
    <row r="142" spans="1:105" s="3" customFormat="1" ht="11.25" customHeight="1" x14ac:dyDescent="0.2">
      <c r="A142" s="1">
        <v>41</v>
      </c>
      <c r="B142" s="1" t="s">
        <v>2019</v>
      </c>
      <c r="C142" s="1" t="s">
        <v>2018</v>
      </c>
      <c r="D142" s="1">
        <v>2162</v>
      </c>
      <c r="E142" s="2" t="s">
        <v>4201</v>
      </c>
      <c r="F142" s="1" t="s">
        <v>113</v>
      </c>
      <c r="G142" s="1" t="s">
        <v>190</v>
      </c>
      <c r="H142" s="1" t="s">
        <v>2018</v>
      </c>
      <c r="I142" s="1" t="s">
        <v>229</v>
      </c>
      <c r="J142" s="1" t="s">
        <v>113</v>
      </c>
      <c r="L142" s="1" t="s">
        <v>111</v>
      </c>
      <c r="M142" s="1" t="s">
        <v>111</v>
      </c>
      <c r="N142" s="1" t="s">
        <v>2020</v>
      </c>
      <c r="O142" s="1" t="s">
        <v>106</v>
      </c>
      <c r="P142" s="1" t="s">
        <v>113</v>
      </c>
      <c r="Q142" s="1" t="s">
        <v>195</v>
      </c>
      <c r="R142" s="1" t="s">
        <v>2021</v>
      </c>
      <c r="S142" s="1" t="s">
        <v>114</v>
      </c>
      <c r="T142" s="1" t="s">
        <v>106</v>
      </c>
      <c r="U142" s="1" t="s">
        <v>2022</v>
      </c>
      <c r="V142" s="1" t="s">
        <v>2023</v>
      </c>
      <c r="W142" s="1" t="s">
        <v>115</v>
      </c>
      <c r="X142" s="1" t="s">
        <v>113</v>
      </c>
      <c r="Z142" s="1">
        <v>100</v>
      </c>
      <c r="AA142" s="1" t="s">
        <v>116</v>
      </c>
      <c r="AB142" s="1" t="s">
        <v>128</v>
      </c>
      <c r="AC142" s="1" t="s">
        <v>128</v>
      </c>
      <c r="AD142" s="1">
        <v>0</v>
      </c>
      <c r="AE142" s="1" t="s">
        <v>2024</v>
      </c>
      <c r="AF142" s="1">
        <v>5280</v>
      </c>
      <c r="AG142" s="1" t="s">
        <v>113</v>
      </c>
      <c r="AH142" s="1">
        <v>0</v>
      </c>
      <c r="AI142" s="1">
        <v>0</v>
      </c>
      <c r="AJ142" s="1">
        <v>0</v>
      </c>
      <c r="AK142" s="1" t="s">
        <v>232</v>
      </c>
      <c r="AM142" s="1" t="s">
        <v>2025</v>
      </c>
      <c r="AO142" s="1" t="s">
        <v>113</v>
      </c>
      <c r="AP142" s="1" t="s">
        <v>113</v>
      </c>
      <c r="AQ142" s="1" t="s">
        <v>114</v>
      </c>
      <c r="AR142" s="1" t="s">
        <v>114</v>
      </c>
      <c r="AS142" s="1" t="s">
        <v>114</v>
      </c>
      <c r="AT142" s="1" t="s">
        <v>123</v>
      </c>
      <c r="AU142" s="1" t="s">
        <v>113</v>
      </c>
      <c r="AV142" s="1" t="s">
        <v>113</v>
      </c>
      <c r="AW142" s="1" t="s">
        <v>164</v>
      </c>
      <c r="AX142" s="1" t="s">
        <v>165</v>
      </c>
      <c r="AY142" s="1">
        <v>0</v>
      </c>
      <c r="AZ142" s="1" t="s">
        <v>113</v>
      </c>
      <c r="BA142" s="1" t="s">
        <v>113</v>
      </c>
      <c r="BB142" s="1" t="s">
        <v>125</v>
      </c>
      <c r="BC142" s="1" t="s">
        <v>166</v>
      </c>
      <c r="BD142" s="1">
        <v>0</v>
      </c>
      <c r="BE142" s="1">
        <v>100</v>
      </c>
      <c r="BF142" s="1" t="s">
        <v>779</v>
      </c>
      <c r="BG142" s="1" t="s">
        <v>116</v>
      </c>
      <c r="BI142" s="1" t="s">
        <v>269</v>
      </c>
      <c r="BJ142" s="1" t="s">
        <v>384</v>
      </c>
      <c r="BK142" s="1">
        <v>100</v>
      </c>
      <c r="BL142" s="1" t="s">
        <v>270</v>
      </c>
      <c r="BM142" s="1" t="s">
        <v>210</v>
      </c>
      <c r="BN142" s="1">
        <v>3</v>
      </c>
      <c r="BO142" s="1">
        <v>0</v>
      </c>
      <c r="BP142" s="1" t="s">
        <v>947</v>
      </c>
      <c r="BQ142" s="1" t="s">
        <v>127</v>
      </c>
      <c r="BR142" s="1" t="s">
        <v>2026</v>
      </c>
      <c r="BS142" s="1" t="s">
        <v>2027</v>
      </c>
      <c r="BT142" s="1" t="s">
        <v>172</v>
      </c>
      <c r="BU142" s="1" t="s">
        <v>239</v>
      </c>
      <c r="BV142" s="1" t="s">
        <v>2028</v>
      </c>
      <c r="BW142" s="1" t="s">
        <v>134</v>
      </c>
      <c r="BX142" s="1" t="s">
        <v>114</v>
      </c>
      <c r="BY142" s="1" t="s">
        <v>135</v>
      </c>
      <c r="BZ142" s="1" t="s">
        <v>2029</v>
      </c>
      <c r="CA142" s="1">
        <v>3432</v>
      </c>
      <c r="CB142" s="1" t="s">
        <v>244</v>
      </c>
      <c r="CC142" s="1" t="s">
        <v>177</v>
      </c>
      <c r="CE142" s="1" t="s">
        <v>478</v>
      </c>
      <c r="CF142" s="1">
        <v>130102</v>
      </c>
      <c r="CG142" s="1">
        <v>130102</v>
      </c>
      <c r="CH142" s="1">
        <v>120</v>
      </c>
      <c r="CI142" s="1">
        <v>0</v>
      </c>
      <c r="CJ142" s="1">
        <v>20</v>
      </c>
      <c r="CK142" s="1">
        <v>120</v>
      </c>
      <c r="CL142" s="1">
        <v>150</v>
      </c>
      <c r="CM142" s="1">
        <v>100</v>
      </c>
      <c r="CN142" s="1">
        <v>50</v>
      </c>
      <c r="CO142" s="1">
        <v>0</v>
      </c>
      <c r="CP142" s="1">
        <v>0</v>
      </c>
      <c r="CQ142" s="1">
        <v>0</v>
      </c>
      <c r="CR142" s="1" t="s">
        <v>139</v>
      </c>
      <c r="CS142" s="1" t="s">
        <v>308</v>
      </c>
      <c r="CT142" s="1" t="s">
        <v>223</v>
      </c>
      <c r="CV142" s="1" t="s">
        <v>849</v>
      </c>
      <c r="CW142" s="1" t="s">
        <v>284</v>
      </c>
      <c r="CX142" s="1" t="s">
        <v>2026</v>
      </c>
      <c r="CY142" s="1" t="s">
        <v>143</v>
      </c>
      <c r="CZ142" s="1" t="s">
        <v>144</v>
      </c>
      <c r="DA142" s="1" t="s">
        <v>145</v>
      </c>
    </row>
    <row r="143" spans="1:105" s="3" customFormat="1" ht="11.25" customHeight="1" x14ac:dyDescent="0.2">
      <c r="A143" s="1">
        <v>41</v>
      </c>
      <c r="B143" s="1" t="s">
        <v>2030</v>
      </c>
      <c r="C143" s="1" t="s">
        <v>2031</v>
      </c>
      <c r="D143" s="1">
        <v>6387</v>
      </c>
      <c r="E143" s="2" t="s">
        <v>1688</v>
      </c>
      <c r="F143" s="1"/>
      <c r="H143" s="1"/>
      <c r="I143" s="1"/>
      <c r="J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5"/>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W143" s="1"/>
      <c r="CX143" s="1"/>
      <c r="CY143" s="1"/>
      <c r="CZ143" s="1"/>
      <c r="DA143" s="1"/>
    </row>
    <row r="144" spans="1:105" s="3" customFormat="1" ht="11.25" customHeight="1" x14ac:dyDescent="0.2">
      <c r="A144" s="1">
        <v>41</v>
      </c>
      <c r="B144" s="1" t="s">
        <v>2033</v>
      </c>
      <c r="C144" s="1" t="s">
        <v>2032</v>
      </c>
      <c r="D144" s="1">
        <v>9633</v>
      </c>
      <c r="E144" s="2" t="s">
        <v>4201</v>
      </c>
      <c r="F144" s="1" t="s">
        <v>106</v>
      </c>
      <c r="G144" s="1" t="s">
        <v>2034</v>
      </c>
      <c r="H144" s="1" t="s">
        <v>2035</v>
      </c>
      <c r="I144" s="1" t="s">
        <v>193</v>
      </c>
      <c r="J144" s="1" t="s">
        <v>113</v>
      </c>
      <c r="L144" s="1" t="s">
        <v>111</v>
      </c>
      <c r="M144" s="1" t="s">
        <v>111</v>
      </c>
      <c r="N144" s="1" t="s">
        <v>112</v>
      </c>
      <c r="O144" s="1" t="s">
        <v>113</v>
      </c>
      <c r="P144" s="1" t="s">
        <v>113</v>
      </c>
      <c r="Q144" s="1" t="s">
        <v>195</v>
      </c>
      <c r="R144" s="1" t="s">
        <v>2036</v>
      </c>
      <c r="S144" s="1" t="s">
        <v>114</v>
      </c>
      <c r="T144" s="1" t="s">
        <v>106</v>
      </c>
      <c r="U144" s="1" t="s">
        <v>2037</v>
      </c>
      <c r="V144" s="1" t="s">
        <v>667</v>
      </c>
      <c r="W144" s="1" t="s">
        <v>755</v>
      </c>
      <c r="X144" s="1" t="s">
        <v>113</v>
      </c>
      <c r="Y144" s="1" t="s">
        <v>114</v>
      </c>
      <c r="Z144" s="1">
        <v>100</v>
      </c>
      <c r="AA144" s="1" t="s">
        <v>2038</v>
      </c>
      <c r="AB144" s="1" t="s">
        <v>128</v>
      </c>
      <c r="AC144" s="1" t="s">
        <v>118</v>
      </c>
      <c r="AD144" s="1">
        <v>75</v>
      </c>
      <c r="AE144" s="1" t="s">
        <v>2038</v>
      </c>
      <c r="AF144" s="1">
        <v>1300</v>
      </c>
      <c r="AG144" s="1" t="s">
        <v>113</v>
      </c>
      <c r="AH144" s="1">
        <v>25</v>
      </c>
      <c r="AI144" s="1">
        <v>25</v>
      </c>
      <c r="AJ144" s="1">
        <v>50</v>
      </c>
      <c r="AK144" s="1" t="s">
        <v>408</v>
      </c>
      <c r="AL144" s="1">
        <v>500</v>
      </c>
      <c r="AM144" s="1" t="s">
        <v>363</v>
      </c>
      <c r="AN144" s="1">
        <v>500</v>
      </c>
      <c r="AO144" s="1" t="s">
        <v>113</v>
      </c>
      <c r="AP144" s="1" t="s">
        <v>106</v>
      </c>
      <c r="AQ144" s="1" t="s">
        <v>114</v>
      </c>
      <c r="AR144" s="1" t="s">
        <v>2039</v>
      </c>
      <c r="AS144" s="1" t="s">
        <v>2040</v>
      </c>
      <c r="AT144" s="1" t="s">
        <v>650</v>
      </c>
      <c r="AU144" s="1" t="s">
        <v>106</v>
      </c>
      <c r="AV144" s="1" t="s">
        <v>113</v>
      </c>
      <c r="AW144" s="1" t="s">
        <v>164</v>
      </c>
      <c r="AX144" s="1" t="s">
        <v>165</v>
      </c>
      <c r="AY144" s="1">
        <v>0</v>
      </c>
      <c r="AZ144" s="1" t="s">
        <v>113</v>
      </c>
      <c r="BA144" s="1" t="s">
        <v>113</v>
      </c>
      <c r="BB144" s="1" t="s">
        <v>125</v>
      </c>
      <c r="BC144" s="1" t="s">
        <v>166</v>
      </c>
      <c r="BD144" s="1">
        <v>0</v>
      </c>
      <c r="BE144" s="1">
        <v>100</v>
      </c>
      <c r="BF144" s="1" t="s">
        <v>167</v>
      </c>
      <c r="BG144" s="1" t="s">
        <v>268</v>
      </c>
      <c r="BH144" s="1" t="s">
        <v>269</v>
      </c>
      <c r="BI144" s="1" t="s">
        <v>269</v>
      </c>
      <c r="BJ144" s="1" t="s">
        <v>208</v>
      </c>
      <c r="BK144" s="1">
        <v>75</v>
      </c>
      <c r="BL144" s="1" t="s">
        <v>294</v>
      </c>
      <c r="BM144" s="1" t="s">
        <v>271</v>
      </c>
      <c r="BN144" s="1" t="s">
        <v>276</v>
      </c>
      <c r="BP144" s="1" t="s">
        <v>115</v>
      </c>
      <c r="BQ144" s="1" t="s">
        <v>984</v>
      </c>
      <c r="BR144" s="1" t="s">
        <v>2041</v>
      </c>
      <c r="BS144" s="1" t="s">
        <v>2042</v>
      </c>
      <c r="BT144" s="1" t="s">
        <v>172</v>
      </c>
      <c r="BU144" s="1" t="s">
        <v>132</v>
      </c>
      <c r="BV144" s="1" t="s">
        <v>174</v>
      </c>
      <c r="BW144" s="1" t="s">
        <v>134</v>
      </c>
      <c r="BX144" s="1" t="s">
        <v>1669</v>
      </c>
      <c r="BY144" s="1" t="s">
        <v>299</v>
      </c>
      <c r="BZ144" s="1" t="s">
        <v>861</v>
      </c>
      <c r="CA144" s="1">
        <v>1300</v>
      </c>
      <c r="CB144" s="1" t="s">
        <v>244</v>
      </c>
      <c r="CC144" s="1" t="s">
        <v>177</v>
      </c>
      <c r="CF144" s="6">
        <v>139837.04999999999</v>
      </c>
      <c r="CG144" s="6">
        <v>477800</v>
      </c>
      <c r="CH144" s="1">
        <v>150</v>
      </c>
      <c r="CI144" s="1">
        <v>265.45999999999998</v>
      </c>
      <c r="CJ144" s="1">
        <v>265.45999999999998</v>
      </c>
      <c r="CK144" s="1">
        <v>35</v>
      </c>
      <c r="CL144" s="1">
        <v>35</v>
      </c>
      <c r="CM144" s="1">
        <v>265</v>
      </c>
      <c r="CN144" s="1">
        <v>265</v>
      </c>
      <c r="CO144" s="1">
        <v>20</v>
      </c>
      <c r="CP144" s="1">
        <v>20</v>
      </c>
      <c r="CQ144" s="1">
        <v>0</v>
      </c>
      <c r="CR144" s="1" t="s">
        <v>139</v>
      </c>
      <c r="CS144" s="1" t="s">
        <v>140</v>
      </c>
      <c r="CT144" s="1" t="s">
        <v>2043</v>
      </c>
      <c r="CV144" s="1" t="s">
        <v>2044</v>
      </c>
      <c r="CW144" s="1" t="s">
        <v>141</v>
      </c>
      <c r="CX144" s="1" t="s">
        <v>2045</v>
      </c>
      <c r="CY144" s="1" t="s">
        <v>143</v>
      </c>
      <c r="CZ144" s="1" t="s">
        <v>144</v>
      </c>
      <c r="DA144" s="1" t="s">
        <v>145</v>
      </c>
    </row>
    <row r="145" spans="1:105" s="3" customFormat="1" ht="11.25" customHeight="1" x14ac:dyDescent="0.2">
      <c r="A145" s="1">
        <v>41</v>
      </c>
      <c r="B145" s="1" t="s">
        <v>2047</v>
      </c>
      <c r="C145" s="1" t="s">
        <v>2046</v>
      </c>
      <c r="D145" s="1">
        <v>2510</v>
      </c>
      <c r="E145" s="2" t="s">
        <v>4201</v>
      </c>
      <c r="F145" s="1" t="s">
        <v>106</v>
      </c>
      <c r="G145" s="1" t="s">
        <v>254</v>
      </c>
      <c r="H145" s="1" t="s">
        <v>255</v>
      </c>
      <c r="I145" s="1" t="s">
        <v>109</v>
      </c>
      <c r="J145" s="1" t="s">
        <v>106</v>
      </c>
      <c r="K145" s="1" t="s">
        <v>255</v>
      </c>
      <c r="L145" s="1" t="s">
        <v>2048</v>
      </c>
      <c r="M145" s="1" t="s">
        <v>2049</v>
      </c>
      <c r="N145" s="1" t="s">
        <v>112</v>
      </c>
      <c r="O145" s="1" t="s">
        <v>106</v>
      </c>
      <c r="P145" s="1" t="s">
        <v>113</v>
      </c>
      <c r="Q145" s="1" t="s">
        <v>195</v>
      </c>
      <c r="R145" s="1" t="s">
        <v>2050</v>
      </c>
      <c r="S145" s="1" t="s">
        <v>2051</v>
      </c>
      <c r="T145" s="1" t="s">
        <v>106</v>
      </c>
      <c r="U145" s="1" t="s">
        <v>2052</v>
      </c>
      <c r="V145" s="1" t="s">
        <v>2053</v>
      </c>
      <c r="W145" s="1" t="s">
        <v>199</v>
      </c>
      <c r="X145" s="1" t="s">
        <v>106</v>
      </c>
      <c r="Y145" s="1" t="s">
        <v>2049</v>
      </c>
      <c r="Z145" s="1">
        <v>100</v>
      </c>
      <c r="AA145" s="1" t="s">
        <v>116</v>
      </c>
      <c r="AB145" s="1" t="s">
        <v>128</v>
      </c>
      <c r="AC145" s="1" t="s">
        <v>118</v>
      </c>
      <c r="AD145" s="1">
        <v>45</v>
      </c>
      <c r="AE145" s="1" t="s">
        <v>116</v>
      </c>
      <c r="AF145" s="1" t="s">
        <v>2054</v>
      </c>
      <c r="AG145" s="1" t="s">
        <v>113</v>
      </c>
      <c r="AH145" s="1">
        <v>0</v>
      </c>
      <c r="AI145" s="1">
        <v>0</v>
      </c>
      <c r="AJ145" s="1">
        <v>0</v>
      </c>
      <c r="AK145" s="1" t="s">
        <v>232</v>
      </c>
      <c r="AL145" s="1" t="s">
        <v>2055</v>
      </c>
      <c r="AM145" s="1" t="s">
        <v>2056</v>
      </c>
      <c r="AN145" s="1" t="s">
        <v>2055</v>
      </c>
      <c r="AO145" s="1" t="s">
        <v>113</v>
      </c>
      <c r="AP145" s="1" t="s">
        <v>106</v>
      </c>
      <c r="AQ145" s="1" t="s">
        <v>373</v>
      </c>
      <c r="AR145" s="1" t="s">
        <v>2057</v>
      </c>
      <c r="AS145" s="1" t="s">
        <v>373</v>
      </c>
      <c r="AT145" s="1" t="s">
        <v>123</v>
      </c>
      <c r="AU145" s="1" t="s">
        <v>113</v>
      </c>
      <c r="AV145" s="1" t="s">
        <v>113</v>
      </c>
      <c r="AW145" s="1" t="s">
        <v>164</v>
      </c>
      <c r="AX145" s="1" t="s">
        <v>165</v>
      </c>
      <c r="AY145" s="1" t="s">
        <v>2058</v>
      </c>
      <c r="AZ145" s="1" t="s">
        <v>113</v>
      </c>
      <c r="BA145" s="1" t="s">
        <v>113</v>
      </c>
      <c r="BB145" s="1" t="s">
        <v>125</v>
      </c>
      <c r="BC145" s="1" t="s">
        <v>166</v>
      </c>
      <c r="BD145" s="1" t="s">
        <v>2059</v>
      </c>
      <c r="BE145" s="1">
        <v>100</v>
      </c>
      <c r="BF145" s="1" t="s">
        <v>167</v>
      </c>
      <c r="BG145" s="1" t="s">
        <v>268</v>
      </c>
      <c r="BH145" s="1" t="s">
        <v>269</v>
      </c>
      <c r="BI145" s="1" t="s">
        <v>269</v>
      </c>
      <c r="BJ145" s="1" t="s">
        <v>208</v>
      </c>
      <c r="BK145" s="1">
        <v>45</v>
      </c>
      <c r="BL145" s="1" t="s">
        <v>294</v>
      </c>
      <c r="BM145" s="1" t="s">
        <v>271</v>
      </c>
      <c r="BN145" s="1">
        <v>2</v>
      </c>
      <c r="BO145" s="1">
        <v>0</v>
      </c>
      <c r="BP145" s="1" t="s">
        <v>115</v>
      </c>
      <c r="BQ145" s="1" t="s">
        <v>255</v>
      </c>
      <c r="BR145" s="1" t="s">
        <v>373</v>
      </c>
      <c r="BS145" s="1" t="s">
        <v>2060</v>
      </c>
      <c r="BT145" s="1" t="s">
        <v>172</v>
      </c>
      <c r="BU145" s="1" t="s">
        <v>239</v>
      </c>
      <c r="BV145" s="1" t="s">
        <v>2061</v>
      </c>
      <c r="BW145" s="1" t="s">
        <v>134</v>
      </c>
      <c r="BX145" s="1" t="s">
        <v>2062</v>
      </c>
      <c r="BY145" s="1" t="s">
        <v>241</v>
      </c>
      <c r="BZ145" s="1" t="s">
        <v>157</v>
      </c>
      <c r="CA145" s="1" t="s">
        <v>2063</v>
      </c>
      <c r="CB145" s="1" t="s">
        <v>176</v>
      </c>
      <c r="CC145" s="1" t="s">
        <v>217</v>
      </c>
      <c r="CD145" s="1" t="s">
        <v>2064</v>
      </c>
      <c r="CE145" s="1" t="s">
        <v>219</v>
      </c>
      <c r="CF145" s="6">
        <v>931016.01</v>
      </c>
      <c r="CG145" s="6">
        <v>389758.71999999997</v>
      </c>
      <c r="CH145" s="1">
        <v>0</v>
      </c>
      <c r="CI145" s="6">
        <v>123749.17</v>
      </c>
      <c r="CJ145" s="6">
        <v>196251.95</v>
      </c>
      <c r="CK145" s="1">
        <v>0</v>
      </c>
      <c r="CL145" s="1">
        <v>2767200</v>
      </c>
      <c r="CM145" s="1">
        <v>0</v>
      </c>
      <c r="CN145" s="1">
        <v>0</v>
      </c>
      <c r="CO145" s="1">
        <v>0</v>
      </c>
      <c r="CP145" s="1">
        <v>0</v>
      </c>
      <c r="CQ145" s="1">
        <v>0</v>
      </c>
      <c r="CR145" s="1" t="s">
        <v>139</v>
      </c>
      <c r="CS145" s="1" t="s">
        <v>140</v>
      </c>
      <c r="CT145" s="1" t="s">
        <v>394</v>
      </c>
      <c r="CW145" s="1" t="s">
        <v>420</v>
      </c>
      <c r="CX145" s="1" t="s">
        <v>2065</v>
      </c>
      <c r="CY145" s="1" t="s">
        <v>2066</v>
      </c>
      <c r="CZ145" s="1" t="s">
        <v>144</v>
      </c>
      <c r="DA145" s="1" t="s">
        <v>145</v>
      </c>
    </row>
    <row r="146" spans="1:105" s="3" customFormat="1" ht="11.25" customHeight="1" x14ac:dyDescent="0.2">
      <c r="A146" s="1">
        <v>41</v>
      </c>
      <c r="B146" s="1" t="s">
        <v>2068</v>
      </c>
      <c r="C146" s="1" t="s">
        <v>2067</v>
      </c>
      <c r="D146" s="1">
        <v>4531</v>
      </c>
      <c r="E146" s="2" t="s">
        <v>4201</v>
      </c>
      <c r="F146" s="1" t="s">
        <v>113</v>
      </c>
      <c r="G146" s="1" t="s">
        <v>190</v>
      </c>
      <c r="H146" s="1" t="s">
        <v>2069</v>
      </c>
      <c r="I146" s="1" t="s">
        <v>229</v>
      </c>
      <c r="J146" s="1" t="s">
        <v>229</v>
      </c>
      <c r="L146" s="1" t="s">
        <v>111</v>
      </c>
      <c r="M146" s="1" t="s">
        <v>191</v>
      </c>
      <c r="N146" s="1" t="s">
        <v>112</v>
      </c>
      <c r="O146" s="1" t="s">
        <v>113</v>
      </c>
      <c r="P146" s="1" t="s">
        <v>113</v>
      </c>
      <c r="Q146" s="1" t="s">
        <v>195</v>
      </c>
      <c r="R146" s="1" t="s">
        <v>2070</v>
      </c>
      <c r="S146" s="1" t="s">
        <v>1086</v>
      </c>
      <c r="T146" s="1" t="s">
        <v>106</v>
      </c>
      <c r="U146" s="1" t="s">
        <v>2071</v>
      </c>
      <c r="V146" s="1" t="s">
        <v>625</v>
      </c>
      <c r="W146" s="1" t="s">
        <v>199</v>
      </c>
      <c r="X146" s="1" t="s">
        <v>113</v>
      </c>
      <c r="Y146" s="1" t="s">
        <v>157</v>
      </c>
      <c r="Z146" s="1">
        <v>100</v>
      </c>
      <c r="AA146" s="1" t="s">
        <v>116</v>
      </c>
      <c r="AB146" s="1" t="s">
        <v>128</v>
      </c>
      <c r="AC146" s="1" t="s">
        <v>128</v>
      </c>
      <c r="AD146" s="1">
        <v>0</v>
      </c>
      <c r="AE146" s="1" t="s">
        <v>116</v>
      </c>
      <c r="AF146" s="1">
        <v>1133</v>
      </c>
      <c r="AG146" s="1" t="s">
        <v>106</v>
      </c>
      <c r="AH146" s="1">
        <v>25</v>
      </c>
      <c r="AI146" s="1">
        <v>67</v>
      </c>
      <c r="AJ146" s="1">
        <v>33</v>
      </c>
      <c r="AK146" s="1" t="s">
        <v>530</v>
      </c>
      <c r="AL146" s="1">
        <v>840</v>
      </c>
      <c r="AM146" s="1" t="s">
        <v>2072</v>
      </c>
      <c r="AN146" s="1">
        <v>840</v>
      </c>
      <c r="AO146" s="1" t="s">
        <v>113</v>
      </c>
      <c r="AP146" s="1" t="s">
        <v>113</v>
      </c>
      <c r="AQ146" s="1" t="s">
        <v>157</v>
      </c>
      <c r="AR146" s="1" t="s">
        <v>157</v>
      </c>
      <c r="AS146" s="1" t="s">
        <v>157</v>
      </c>
      <c r="AT146" s="1" t="s">
        <v>123</v>
      </c>
      <c r="AU146" s="1" t="s">
        <v>113</v>
      </c>
      <c r="AV146" s="1" t="s">
        <v>113</v>
      </c>
      <c r="AW146" s="1" t="s">
        <v>164</v>
      </c>
      <c r="AX146" s="1" t="s">
        <v>165</v>
      </c>
      <c r="AY146" s="1">
        <v>0</v>
      </c>
      <c r="AZ146" s="1" t="s">
        <v>113</v>
      </c>
      <c r="BA146" s="1" t="s">
        <v>113</v>
      </c>
      <c r="BB146" s="1" t="s">
        <v>125</v>
      </c>
      <c r="BC146" s="1" t="s">
        <v>166</v>
      </c>
      <c r="BD146" s="1">
        <v>0</v>
      </c>
      <c r="BE146" s="1">
        <v>100</v>
      </c>
      <c r="BF146" s="1" t="s">
        <v>167</v>
      </c>
      <c r="BG146" s="1" t="s">
        <v>116</v>
      </c>
      <c r="BH146" s="1" t="s">
        <v>168</v>
      </c>
      <c r="BI146" s="1" t="s">
        <v>168</v>
      </c>
      <c r="BJ146" s="1" t="s">
        <v>128</v>
      </c>
      <c r="BK146" s="1">
        <v>0</v>
      </c>
      <c r="BL146" s="1" t="s">
        <v>127</v>
      </c>
      <c r="BM146" s="1" t="s">
        <v>114</v>
      </c>
      <c r="BN146" s="1" t="s">
        <v>276</v>
      </c>
      <c r="BO146" s="1">
        <v>3</v>
      </c>
      <c r="BP146" s="1" t="s">
        <v>115</v>
      </c>
      <c r="BQ146" s="1" t="s">
        <v>2073</v>
      </c>
      <c r="BR146" s="1" t="s">
        <v>2074</v>
      </c>
      <c r="BS146" s="1" t="s">
        <v>2075</v>
      </c>
      <c r="BT146" s="1" t="s">
        <v>172</v>
      </c>
      <c r="BU146" s="1" t="s">
        <v>132</v>
      </c>
      <c r="BV146" s="1" t="s">
        <v>1210</v>
      </c>
      <c r="BW146" s="1" t="s">
        <v>134</v>
      </c>
      <c r="BX146" s="1" t="s">
        <v>325</v>
      </c>
      <c r="BY146" s="1" t="s">
        <v>454</v>
      </c>
      <c r="BZ146" s="1" t="s">
        <v>2076</v>
      </c>
      <c r="CA146" s="1">
        <v>139</v>
      </c>
      <c r="CB146" s="1" t="s">
        <v>244</v>
      </c>
      <c r="CC146" s="1" t="s">
        <v>177</v>
      </c>
      <c r="CD146" s="1" t="s">
        <v>2077</v>
      </c>
      <c r="CE146" s="1" t="s">
        <v>219</v>
      </c>
      <c r="CF146" s="1">
        <v>58201.3</v>
      </c>
      <c r="CG146" s="1">
        <v>725796.4</v>
      </c>
      <c r="CH146" s="1">
        <v>120000</v>
      </c>
      <c r="CI146" s="1">
        <v>64491.75</v>
      </c>
      <c r="CJ146" s="1">
        <v>50000</v>
      </c>
      <c r="CK146" s="1">
        <v>250000</v>
      </c>
      <c r="CL146" s="1">
        <v>100000</v>
      </c>
      <c r="CM146" s="1">
        <v>30000</v>
      </c>
      <c r="CN146" s="1">
        <v>72000</v>
      </c>
      <c r="CO146" s="1">
        <v>14000</v>
      </c>
      <c r="CP146" s="1">
        <v>12000</v>
      </c>
      <c r="CQ146" s="1">
        <v>13304</v>
      </c>
      <c r="CR146" s="1" t="s">
        <v>139</v>
      </c>
      <c r="CS146" s="1" t="s">
        <v>140</v>
      </c>
      <c r="CT146" s="1" t="s">
        <v>2078</v>
      </c>
      <c r="CV146" s="1" t="s">
        <v>2079</v>
      </c>
      <c r="CW146" s="1" t="s">
        <v>251</v>
      </c>
      <c r="CX146" s="1" t="s">
        <v>157</v>
      </c>
      <c r="CY146" s="1" t="s">
        <v>1263</v>
      </c>
      <c r="CZ146" s="1" t="s">
        <v>144</v>
      </c>
      <c r="DA146" s="1" t="s">
        <v>145</v>
      </c>
    </row>
    <row r="147" spans="1:105" s="3" customFormat="1" ht="11.25" customHeight="1" x14ac:dyDescent="0.2">
      <c r="A147" s="1">
        <v>41</v>
      </c>
      <c r="B147" s="1" t="s">
        <v>2080</v>
      </c>
      <c r="C147" s="1" t="s">
        <v>2081</v>
      </c>
      <c r="D147" s="1">
        <v>6531</v>
      </c>
      <c r="E147" s="2" t="s">
        <v>1688</v>
      </c>
      <c r="F147" s="1"/>
      <c r="G147" s="1"/>
      <c r="H147" s="1"/>
      <c r="I147" s="1"/>
      <c r="J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V147" s="1"/>
      <c r="CW147" s="1"/>
      <c r="CX147" s="1"/>
      <c r="CY147" s="1"/>
      <c r="CZ147" s="1"/>
      <c r="DA147" s="1"/>
    </row>
    <row r="148" spans="1:105" s="3" customFormat="1" ht="11.25" customHeight="1" x14ac:dyDescent="0.2">
      <c r="A148" s="1">
        <v>41</v>
      </c>
      <c r="B148" s="1" t="s">
        <v>2083</v>
      </c>
      <c r="C148" s="1" t="s">
        <v>2082</v>
      </c>
      <c r="D148" s="1">
        <v>14338</v>
      </c>
      <c r="E148" s="2" t="s">
        <v>4201</v>
      </c>
      <c r="F148" s="1" t="s">
        <v>113</v>
      </c>
      <c r="H148" s="1" t="s">
        <v>504</v>
      </c>
      <c r="I148" s="1" t="s">
        <v>229</v>
      </c>
      <c r="J148" s="1" t="s">
        <v>229</v>
      </c>
      <c r="L148" s="1" t="s">
        <v>111</v>
      </c>
      <c r="M148" s="1" t="s">
        <v>111</v>
      </c>
      <c r="N148" s="1" t="s">
        <v>2084</v>
      </c>
      <c r="O148" s="1" t="s">
        <v>106</v>
      </c>
      <c r="P148" s="1" t="s">
        <v>106</v>
      </c>
      <c r="Q148" s="1" t="s">
        <v>195</v>
      </c>
      <c r="R148" s="1" t="s">
        <v>753</v>
      </c>
      <c r="S148" s="1" t="s">
        <v>2085</v>
      </c>
      <c r="T148" s="1" t="s">
        <v>106</v>
      </c>
      <c r="U148" s="1" t="s">
        <v>2086</v>
      </c>
      <c r="V148" s="1" t="s">
        <v>2087</v>
      </c>
      <c r="W148" s="1" t="s">
        <v>199</v>
      </c>
      <c r="X148" s="1" t="s">
        <v>113</v>
      </c>
      <c r="Z148" s="1">
        <v>100</v>
      </c>
      <c r="AA148" s="1" t="s">
        <v>116</v>
      </c>
      <c r="AB148" s="1" t="s">
        <v>158</v>
      </c>
      <c r="AC148" s="1" t="s">
        <v>384</v>
      </c>
      <c r="AD148" s="1">
        <v>100</v>
      </c>
      <c r="AE148" s="1" t="s">
        <v>116</v>
      </c>
      <c r="AF148" s="4">
        <v>4698000</v>
      </c>
      <c r="AG148" s="1" t="s">
        <v>113</v>
      </c>
      <c r="AH148" s="1">
        <v>0</v>
      </c>
      <c r="AI148" s="1">
        <v>20</v>
      </c>
      <c r="AJ148" s="1">
        <v>0</v>
      </c>
      <c r="AK148" s="1" t="s">
        <v>449</v>
      </c>
      <c r="AL148" s="4">
        <v>3915</v>
      </c>
      <c r="AM148" s="1" t="s">
        <v>172</v>
      </c>
      <c r="AN148" s="1">
        <v>0</v>
      </c>
      <c r="AO148" s="1" t="s">
        <v>113</v>
      </c>
      <c r="AP148" s="1" t="s">
        <v>106</v>
      </c>
      <c r="AQ148" s="1" t="s">
        <v>2088</v>
      </c>
      <c r="AR148" s="1" t="s">
        <v>2089</v>
      </c>
      <c r="AS148" s="1" t="s">
        <v>2090</v>
      </c>
      <c r="AT148" s="1" t="s">
        <v>123</v>
      </c>
      <c r="AU148" s="1" t="s">
        <v>106</v>
      </c>
      <c r="AV148" s="1" t="s">
        <v>113</v>
      </c>
      <c r="AW148" s="1" t="s">
        <v>124</v>
      </c>
      <c r="AX148" s="1" t="s">
        <v>165</v>
      </c>
      <c r="AY148" s="1">
        <v>0</v>
      </c>
      <c r="AZ148" s="1" t="s">
        <v>113</v>
      </c>
      <c r="BA148" s="1" t="s">
        <v>113</v>
      </c>
      <c r="BB148" s="1" t="s">
        <v>125</v>
      </c>
      <c r="BC148" s="1" t="s">
        <v>166</v>
      </c>
      <c r="BD148" s="1">
        <v>0</v>
      </c>
      <c r="BE148" s="1">
        <v>100</v>
      </c>
      <c r="BF148" s="1" t="s">
        <v>167</v>
      </c>
      <c r="BG148" s="1" t="s">
        <v>116</v>
      </c>
      <c r="BH148" s="1" t="s">
        <v>168</v>
      </c>
      <c r="BI148" s="1" t="s">
        <v>168</v>
      </c>
      <c r="BJ148" s="1" t="s">
        <v>384</v>
      </c>
      <c r="BK148" s="1">
        <v>100</v>
      </c>
      <c r="BL148" s="1" t="s">
        <v>270</v>
      </c>
      <c r="BM148" s="1" t="s">
        <v>210</v>
      </c>
      <c r="BN148" s="1" t="s">
        <v>143</v>
      </c>
      <c r="BO148" s="1" t="s">
        <v>143</v>
      </c>
      <c r="BP148" s="1" t="s">
        <v>115</v>
      </c>
      <c r="BQ148" s="1" t="s">
        <v>2091</v>
      </c>
      <c r="BR148" s="1" t="s">
        <v>2092</v>
      </c>
      <c r="BS148" s="1" t="s">
        <v>2093</v>
      </c>
      <c r="BT148" s="1" t="s">
        <v>172</v>
      </c>
      <c r="BU148" s="1" t="s">
        <v>132</v>
      </c>
      <c r="BV148" s="1" t="s">
        <v>987</v>
      </c>
      <c r="BW148" s="1" t="s">
        <v>298</v>
      </c>
      <c r="BX148" s="1" t="s">
        <v>325</v>
      </c>
      <c r="BY148" s="1" t="s">
        <v>241</v>
      </c>
      <c r="BZ148" s="4">
        <v>287312</v>
      </c>
      <c r="CA148" s="1">
        <v>1400</v>
      </c>
      <c r="CB148" s="1" t="s">
        <v>176</v>
      </c>
      <c r="CC148" s="1" t="s">
        <v>496</v>
      </c>
      <c r="CD148" s="1" t="s">
        <v>2094</v>
      </c>
      <c r="CE148" s="1" t="s">
        <v>179</v>
      </c>
      <c r="CF148" s="1" t="s">
        <v>2095</v>
      </c>
      <c r="CG148" s="4">
        <v>17000000</v>
      </c>
      <c r="CH148" s="1">
        <v>0</v>
      </c>
      <c r="CI148" s="1">
        <v>0</v>
      </c>
      <c r="CJ148" s="4">
        <v>17000000</v>
      </c>
      <c r="CK148" s="1">
        <v>0</v>
      </c>
      <c r="CL148" s="1">
        <v>0</v>
      </c>
      <c r="CM148" s="1">
        <v>0</v>
      </c>
      <c r="CN148" s="1">
        <v>0</v>
      </c>
      <c r="CO148" s="1">
        <v>0</v>
      </c>
      <c r="CP148" s="1">
        <v>0</v>
      </c>
      <c r="CQ148" s="1">
        <v>0</v>
      </c>
      <c r="CR148" s="1" t="s">
        <v>139</v>
      </c>
      <c r="CS148" s="1" t="s">
        <v>140</v>
      </c>
      <c r="CT148" s="1" t="s">
        <v>2096</v>
      </c>
      <c r="CV148" s="1" t="s">
        <v>2097</v>
      </c>
      <c r="CW148" s="1" t="s">
        <v>420</v>
      </c>
      <c r="CX148" s="1" t="s">
        <v>2098</v>
      </c>
      <c r="CY148" s="1" t="s">
        <v>2099</v>
      </c>
      <c r="CZ148" s="1" t="s">
        <v>144</v>
      </c>
      <c r="DA148" s="1" t="s">
        <v>145</v>
      </c>
    </row>
    <row r="149" spans="1:105" s="3" customFormat="1" ht="11.25" customHeight="1" x14ac:dyDescent="0.2">
      <c r="A149" s="1">
        <v>41</v>
      </c>
      <c r="B149" s="1" t="s">
        <v>2101</v>
      </c>
      <c r="C149" s="1" t="s">
        <v>2100</v>
      </c>
      <c r="D149" s="1">
        <v>16062</v>
      </c>
      <c r="E149" s="2" t="s">
        <v>4201</v>
      </c>
      <c r="F149" s="1" t="s">
        <v>113</v>
      </c>
      <c r="G149" s="1" t="s">
        <v>190</v>
      </c>
      <c r="H149" s="1" t="s">
        <v>2102</v>
      </c>
      <c r="I149" s="1" t="s">
        <v>229</v>
      </c>
      <c r="J149" s="1" t="s">
        <v>113</v>
      </c>
      <c r="K149" s="1" t="s">
        <v>693</v>
      </c>
      <c r="L149" s="1" t="s">
        <v>111</v>
      </c>
      <c r="M149" s="1" t="s">
        <v>230</v>
      </c>
      <c r="N149" s="1" t="s">
        <v>112</v>
      </c>
      <c r="O149" s="1" t="s">
        <v>113</v>
      </c>
      <c r="P149" s="1" t="s">
        <v>113</v>
      </c>
      <c r="Q149" s="1" t="s">
        <v>1298</v>
      </c>
      <c r="R149" s="1" t="s">
        <v>127</v>
      </c>
      <c r="S149" s="1" t="s">
        <v>127</v>
      </c>
      <c r="T149" s="1" t="s">
        <v>106</v>
      </c>
      <c r="U149" s="1" t="s">
        <v>2103</v>
      </c>
      <c r="V149" s="1" t="s">
        <v>2104</v>
      </c>
      <c r="W149" s="1" t="s">
        <v>115</v>
      </c>
      <c r="X149" s="1" t="s">
        <v>113</v>
      </c>
      <c r="Y149" s="1" t="s">
        <v>127</v>
      </c>
      <c r="Z149" s="1">
        <v>0</v>
      </c>
      <c r="AA149" s="1" t="s">
        <v>127</v>
      </c>
      <c r="AB149" s="1" t="s">
        <v>128</v>
      </c>
      <c r="AC149" s="1" t="s">
        <v>128</v>
      </c>
      <c r="AD149" s="1">
        <v>0</v>
      </c>
      <c r="AE149" s="1" t="s">
        <v>127</v>
      </c>
      <c r="AF149" s="5" t="s">
        <v>126</v>
      </c>
      <c r="AG149" s="1" t="s">
        <v>113</v>
      </c>
      <c r="AH149" s="5" t="s">
        <v>220</v>
      </c>
      <c r="AI149" s="5" t="s">
        <v>220</v>
      </c>
      <c r="AJ149" s="5" t="s">
        <v>220</v>
      </c>
      <c r="AK149" s="1" t="s">
        <v>758</v>
      </c>
      <c r="AM149" s="1" t="s">
        <v>2105</v>
      </c>
      <c r="AO149" s="1" t="s">
        <v>113</v>
      </c>
      <c r="AP149" s="1" t="s">
        <v>113</v>
      </c>
      <c r="AQ149" s="1" t="s">
        <v>127</v>
      </c>
      <c r="AR149" s="1" t="s">
        <v>127</v>
      </c>
      <c r="AS149" s="1" t="s">
        <v>127</v>
      </c>
      <c r="AT149" s="1" t="s">
        <v>123</v>
      </c>
      <c r="AU149" s="1" t="s">
        <v>113</v>
      </c>
      <c r="AV149" s="1" t="s">
        <v>113</v>
      </c>
      <c r="AW149" s="1" t="s">
        <v>164</v>
      </c>
      <c r="AX149" s="1" t="s">
        <v>165</v>
      </c>
      <c r="AY149" s="5" t="s">
        <v>220</v>
      </c>
      <c r="AZ149" s="1" t="s">
        <v>113</v>
      </c>
      <c r="BA149" s="1" t="s">
        <v>113</v>
      </c>
      <c r="BB149" s="1" t="s">
        <v>125</v>
      </c>
      <c r="BC149" s="1" t="s">
        <v>166</v>
      </c>
      <c r="BD149" s="5" t="s">
        <v>220</v>
      </c>
      <c r="BE149" s="1">
        <v>100</v>
      </c>
      <c r="BF149" s="1" t="s">
        <v>167</v>
      </c>
      <c r="BG149" s="1" t="s">
        <v>116</v>
      </c>
      <c r="BH149" s="1" t="s">
        <v>168</v>
      </c>
      <c r="BI149" s="1" t="s">
        <v>168</v>
      </c>
      <c r="BJ149" s="1" t="s">
        <v>208</v>
      </c>
      <c r="BK149" s="1">
        <v>0</v>
      </c>
      <c r="BL149" s="1" t="s">
        <v>127</v>
      </c>
      <c r="BM149" s="1" t="s">
        <v>114</v>
      </c>
      <c r="BN149" s="1" t="s">
        <v>127</v>
      </c>
      <c r="BO149" s="5" t="s">
        <v>220</v>
      </c>
      <c r="BP149" s="1" t="s">
        <v>124</v>
      </c>
      <c r="BQ149" s="1" t="s">
        <v>2102</v>
      </c>
      <c r="BR149" s="1" t="s">
        <v>2106</v>
      </c>
      <c r="BS149" s="1" t="s">
        <v>2107</v>
      </c>
      <c r="BT149" s="1" t="s">
        <v>172</v>
      </c>
      <c r="BU149" s="1" t="s">
        <v>239</v>
      </c>
      <c r="BV149" s="1" t="s">
        <v>324</v>
      </c>
      <c r="BW149" s="1" t="s">
        <v>134</v>
      </c>
      <c r="BX149" s="1" t="s">
        <v>2102</v>
      </c>
      <c r="BY149" s="1" t="s">
        <v>135</v>
      </c>
      <c r="BZ149" s="1" t="s">
        <v>127</v>
      </c>
      <c r="CA149" s="5" t="s">
        <v>220</v>
      </c>
      <c r="CB149" s="1" t="s">
        <v>244</v>
      </c>
      <c r="CC149" s="1" t="s">
        <v>217</v>
      </c>
      <c r="CD149" s="5" t="s">
        <v>2108</v>
      </c>
      <c r="CE149" s="1" t="s">
        <v>219</v>
      </c>
      <c r="CF149" s="1">
        <v>794634.47</v>
      </c>
      <c r="CG149" s="1">
        <v>876818.66</v>
      </c>
      <c r="CH149" s="5" t="s">
        <v>220</v>
      </c>
      <c r="CI149" s="5" t="s">
        <v>220</v>
      </c>
      <c r="CJ149" s="5" t="s">
        <v>220</v>
      </c>
      <c r="CK149" s="5" t="s">
        <v>220</v>
      </c>
      <c r="CL149" s="5" t="s">
        <v>220</v>
      </c>
      <c r="CM149" s="5" t="s">
        <v>220</v>
      </c>
      <c r="CN149" s="5" t="s">
        <v>220</v>
      </c>
      <c r="CO149" s="5" t="s">
        <v>220</v>
      </c>
      <c r="CP149" s="5" t="s">
        <v>220</v>
      </c>
      <c r="CQ149" s="5" t="s">
        <v>220</v>
      </c>
      <c r="CR149" s="1" t="s">
        <v>2109</v>
      </c>
      <c r="CS149" s="1" t="s">
        <v>308</v>
      </c>
      <c r="CT149" s="1" t="s">
        <v>2110</v>
      </c>
      <c r="CV149" s="1" t="s">
        <v>250</v>
      </c>
      <c r="CW149" s="1" t="s">
        <v>141</v>
      </c>
      <c r="CX149" s="1" t="s">
        <v>2111</v>
      </c>
      <c r="CY149" s="1" t="s">
        <v>143</v>
      </c>
      <c r="CZ149" s="1" t="s">
        <v>144</v>
      </c>
      <c r="DA149" s="1" t="s">
        <v>145</v>
      </c>
    </row>
    <row r="150" spans="1:105" s="3" customFormat="1" ht="11.25" customHeight="1" x14ac:dyDescent="0.2">
      <c r="A150" s="1">
        <v>41</v>
      </c>
      <c r="B150" s="1" t="s">
        <v>2113</v>
      </c>
      <c r="C150" s="1" t="s">
        <v>2112</v>
      </c>
      <c r="D150" s="1">
        <v>2344</v>
      </c>
      <c r="E150" s="2" t="s">
        <v>4201</v>
      </c>
      <c r="F150" s="1" t="s">
        <v>113</v>
      </c>
      <c r="G150" s="1" t="s">
        <v>190</v>
      </c>
      <c r="H150" s="1" t="s">
        <v>2114</v>
      </c>
      <c r="I150" s="1" t="s">
        <v>229</v>
      </c>
      <c r="J150" s="1" t="s">
        <v>229</v>
      </c>
      <c r="L150" s="1" t="s">
        <v>111</v>
      </c>
      <c r="M150" s="1" t="s">
        <v>111</v>
      </c>
      <c r="N150" s="1" t="s">
        <v>2115</v>
      </c>
      <c r="O150" s="1" t="s">
        <v>113</v>
      </c>
      <c r="P150" s="1" t="s">
        <v>113</v>
      </c>
      <c r="Q150" s="1" t="s">
        <v>152</v>
      </c>
      <c r="R150" s="1" t="s">
        <v>290</v>
      </c>
      <c r="S150" s="1" t="s">
        <v>2116</v>
      </c>
      <c r="T150" s="1" t="s">
        <v>113</v>
      </c>
      <c r="U150" s="1" t="s">
        <v>290</v>
      </c>
      <c r="W150" s="1" t="s">
        <v>115</v>
      </c>
      <c r="X150" s="1" t="s">
        <v>113</v>
      </c>
      <c r="Y150" s="1" t="s">
        <v>2117</v>
      </c>
      <c r="Z150" s="1">
        <v>100</v>
      </c>
      <c r="AA150" s="1" t="s">
        <v>116</v>
      </c>
      <c r="AB150" s="1" t="s">
        <v>128</v>
      </c>
      <c r="AC150" s="1" t="s">
        <v>128</v>
      </c>
      <c r="AD150" s="1">
        <v>0</v>
      </c>
      <c r="AE150" s="1" t="s">
        <v>1742</v>
      </c>
      <c r="AF150" s="1">
        <v>491</v>
      </c>
      <c r="AG150" s="1" t="s">
        <v>113</v>
      </c>
      <c r="AH150" s="1">
        <v>0</v>
      </c>
      <c r="AI150" s="1">
        <v>0</v>
      </c>
      <c r="AJ150" s="1">
        <v>0</v>
      </c>
      <c r="AK150" s="1" t="s">
        <v>626</v>
      </c>
      <c r="AL150" s="1">
        <v>300</v>
      </c>
      <c r="AM150" s="1" t="s">
        <v>131</v>
      </c>
      <c r="AN150" s="1">
        <v>0</v>
      </c>
      <c r="AO150" s="1" t="s">
        <v>113</v>
      </c>
      <c r="AP150" s="1" t="s">
        <v>113</v>
      </c>
      <c r="AQ150" s="1" t="s">
        <v>2118</v>
      </c>
      <c r="AR150" s="1" t="s">
        <v>2119</v>
      </c>
      <c r="AS150" s="1" t="s">
        <v>2120</v>
      </c>
      <c r="AT150" s="1" t="s">
        <v>204</v>
      </c>
      <c r="AU150" s="1" t="s">
        <v>113</v>
      </c>
      <c r="AV150" s="1" t="s">
        <v>113</v>
      </c>
      <c r="AW150" s="1" t="s">
        <v>234</v>
      </c>
      <c r="AX150" s="1" t="s">
        <v>206</v>
      </c>
      <c r="AY150" s="1">
        <v>250</v>
      </c>
      <c r="AZ150" s="1" t="s">
        <v>113</v>
      </c>
      <c r="BA150" s="1" t="s">
        <v>113</v>
      </c>
      <c r="BB150" s="1" t="s">
        <v>125</v>
      </c>
      <c r="BD150" s="1">
        <v>0</v>
      </c>
      <c r="BE150" s="1">
        <v>100</v>
      </c>
      <c r="BF150" s="1" t="s">
        <v>167</v>
      </c>
      <c r="BG150" s="1" t="s">
        <v>268</v>
      </c>
      <c r="BH150" s="1" t="s">
        <v>269</v>
      </c>
      <c r="BI150" s="1" t="s">
        <v>269</v>
      </c>
      <c r="BJ150" s="1" t="s">
        <v>384</v>
      </c>
      <c r="BK150" s="1">
        <v>90</v>
      </c>
      <c r="BL150" s="1" t="s">
        <v>167</v>
      </c>
      <c r="BM150" s="1" t="s">
        <v>271</v>
      </c>
      <c r="BN150" s="1">
        <v>8</v>
      </c>
      <c r="BO150" s="1">
        <v>0</v>
      </c>
      <c r="BP150" s="1" t="s">
        <v>947</v>
      </c>
      <c r="BQ150" s="1" t="s">
        <v>2121</v>
      </c>
      <c r="BR150" s="1" t="s">
        <v>2120</v>
      </c>
      <c r="BS150" s="1" t="s">
        <v>2122</v>
      </c>
      <c r="BT150" s="1" t="s">
        <v>131</v>
      </c>
      <c r="BU150" s="1" t="s">
        <v>239</v>
      </c>
      <c r="BV150" s="1" t="s">
        <v>435</v>
      </c>
      <c r="BW150" s="1" t="s">
        <v>134</v>
      </c>
      <c r="BX150" s="1" t="s">
        <v>2123</v>
      </c>
      <c r="BY150" s="1" t="s">
        <v>135</v>
      </c>
      <c r="BZ150" s="1" t="s">
        <v>290</v>
      </c>
      <c r="CA150" s="1">
        <v>491</v>
      </c>
      <c r="CB150" s="1" t="s">
        <v>244</v>
      </c>
      <c r="CC150" s="1" t="s">
        <v>217</v>
      </c>
      <c r="CE150" s="1" t="s">
        <v>219</v>
      </c>
      <c r="CF150" s="6">
        <v>47439.64</v>
      </c>
      <c r="CG150" s="6">
        <v>433859</v>
      </c>
      <c r="CH150" s="6">
        <v>149910</v>
      </c>
      <c r="CI150" s="1">
        <v>0</v>
      </c>
      <c r="CJ150" s="1" t="s">
        <v>2124</v>
      </c>
      <c r="CK150" s="6">
        <v>99000</v>
      </c>
      <c r="CL150" s="1" t="s">
        <v>2125</v>
      </c>
      <c r="CM150" s="1" t="s">
        <v>2126</v>
      </c>
      <c r="CN150" s="1" t="s">
        <v>2127</v>
      </c>
      <c r="CO150" s="1">
        <v>0</v>
      </c>
      <c r="CP150" s="1">
        <v>0</v>
      </c>
      <c r="CQ150" s="1">
        <v>0</v>
      </c>
      <c r="CR150" s="1" t="s">
        <v>139</v>
      </c>
      <c r="CS150" s="1" t="s">
        <v>140</v>
      </c>
      <c r="CT150" s="1" t="s">
        <v>223</v>
      </c>
      <c r="CV150" s="1" t="s">
        <v>771</v>
      </c>
      <c r="CW150" s="1" t="s">
        <v>141</v>
      </c>
      <c r="CX150" s="1" t="s">
        <v>2128</v>
      </c>
      <c r="CY150" s="1" t="s">
        <v>276</v>
      </c>
      <c r="CZ150" s="1" t="s">
        <v>144</v>
      </c>
      <c r="DA150" s="1" t="s">
        <v>145</v>
      </c>
    </row>
    <row r="151" spans="1:105" s="3" customFormat="1" ht="11.25" customHeight="1" x14ac:dyDescent="0.2">
      <c r="A151" s="1">
        <v>41</v>
      </c>
      <c r="B151" s="1" t="s">
        <v>2130</v>
      </c>
      <c r="C151" s="1" t="s">
        <v>2129</v>
      </c>
      <c r="D151" s="1">
        <v>60796</v>
      </c>
      <c r="E151" s="2" t="s">
        <v>4201</v>
      </c>
      <c r="F151" s="1" t="s">
        <v>113</v>
      </c>
      <c r="G151" s="1" t="s">
        <v>2034</v>
      </c>
      <c r="H151" s="1" t="s">
        <v>2129</v>
      </c>
      <c r="I151" s="1" t="s">
        <v>193</v>
      </c>
      <c r="J151" s="1" t="s">
        <v>113</v>
      </c>
      <c r="L151" s="1" t="s">
        <v>111</v>
      </c>
      <c r="M151" s="1" t="s">
        <v>257</v>
      </c>
      <c r="N151" s="1" t="s">
        <v>151</v>
      </c>
      <c r="O151" s="1" t="s">
        <v>106</v>
      </c>
      <c r="P151" s="1" t="s">
        <v>113</v>
      </c>
      <c r="Q151" s="1" t="s">
        <v>195</v>
      </c>
      <c r="R151" s="1" t="s">
        <v>2131</v>
      </c>
      <c r="S151" s="1" t="s">
        <v>373</v>
      </c>
      <c r="T151" s="1" t="s">
        <v>106</v>
      </c>
      <c r="U151" s="1" t="s">
        <v>2132</v>
      </c>
      <c r="V151" s="1" t="s">
        <v>262</v>
      </c>
      <c r="W151" s="1" t="s">
        <v>115</v>
      </c>
      <c r="Z151" s="1">
        <v>100</v>
      </c>
      <c r="AA151" s="1" t="s">
        <v>132</v>
      </c>
      <c r="AB151" s="1" t="s">
        <v>128</v>
      </c>
      <c r="AC151" s="1" t="s">
        <v>128</v>
      </c>
      <c r="AD151" s="1">
        <v>0</v>
      </c>
      <c r="AE151" s="1" t="s">
        <v>114</v>
      </c>
      <c r="AF151" s="4">
        <v>10338</v>
      </c>
      <c r="AG151" s="1" t="s">
        <v>106</v>
      </c>
      <c r="AH151" s="1">
        <v>65</v>
      </c>
      <c r="AI151" s="1">
        <v>13</v>
      </c>
      <c r="AJ151" s="1">
        <v>22</v>
      </c>
      <c r="AK151" s="1" t="s">
        <v>232</v>
      </c>
      <c r="AM151" s="1" t="s">
        <v>2133</v>
      </c>
      <c r="AP151" s="1" t="s">
        <v>106</v>
      </c>
      <c r="AQ151" s="1" t="s">
        <v>2134</v>
      </c>
      <c r="AR151" s="1" t="s">
        <v>2135</v>
      </c>
      <c r="AS151" s="1" t="s">
        <v>2136</v>
      </c>
      <c r="AT151" s="1" t="s">
        <v>123</v>
      </c>
      <c r="AU151" s="1" t="s">
        <v>106</v>
      </c>
      <c r="AV151" s="1" t="s">
        <v>113</v>
      </c>
      <c r="AW151" s="1" t="s">
        <v>164</v>
      </c>
      <c r="AY151" s="1">
        <v>0</v>
      </c>
      <c r="AZ151" s="1" t="s">
        <v>113</v>
      </c>
      <c r="BA151" s="1" t="s">
        <v>113</v>
      </c>
      <c r="BB151" s="1" t="s">
        <v>125</v>
      </c>
      <c r="BD151" s="1">
        <v>0</v>
      </c>
      <c r="BE151" s="1">
        <v>100</v>
      </c>
      <c r="BF151" s="1" t="s">
        <v>167</v>
      </c>
      <c r="BG151" s="1" t="s">
        <v>132</v>
      </c>
      <c r="BJ151" s="1" t="s">
        <v>208</v>
      </c>
      <c r="BK151" s="1">
        <v>31</v>
      </c>
      <c r="BL151" s="1" t="s">
        <v>167</v>
      </c>
      <c r="BN151" s="1" t="s">
        <v>143</v>
      </c>
      <c r="BP151" s="1" t="s">
        <v>115</v>
      </c>
      <c r="BQ151" s="1" t="s">
        <v>2137</v>
      </c>
      <c r="BR151" s="1" t="s">
        <v>2138</v>
      </c>
      <c r="BS151" s="1" t="s">
        <v>2139</v>
      </c>
      <c r="BT151" s="1" t="s">
        <v>172</v>
      </c>
      <c r="BU151" s="1" t="s">
        <v>132</v>
      </c>
      <c r="BV151" s="1" t="s">
        <v>275</v>
      </c>
      <c r="BW151" s="1" t="s">
        <v>134</v>
      </c>
      <c r="BX151" s="1" t="s">
        <v>135</v>
      </c>
      <c r="BY151" s="1" t="s">
        <v>135</v>
      </c>
      <c r="BZ151" s="1" t="s">
        <v>2140</v>
      </c>
      <c r="CA151" s="4">
        <v>10338</v>
      </c>
      <c r="CB151" s="1" t="s">
        <v>176</v>
      </c>
      <c r="CC151" s="1" t="s">
        <v>496</v>
      </c>
      <c r="CF151" s="1">
        <v>5772997.1399999997</v>
      </c>
      <c r="CG151" s="1">
        <v>5754594.9699999997</v>
      </c>
      <c r="CH151" s="1">
        <v>262.33</v>
      </c>
      <c r="CI151" s="1">
        <v>2425578</v>
      </c>
      <c r="CJ151" s="1">
        <v>2425578</v>
      </c>
      <c r="CK151" s="1">
        <v>1374042</v>
      </c>
      <c r="CL151" s="1">
        <v>0</v>
      </c>
      <c r="CM151" s="1">
        <v>0</v>
      </c>
      <c r="CN151" s="1">
        <v>0</v>
      </c>
      <c r="CO151" s="1">
        <v>0</v>
      </c>
      <c r="CP151" s="1">
        <v>0</v>
      </c>
      <c r="CQ151" s="1">
        <v>0</v>
      </c>
      <c r="CR151" s="1" t="s">
        <v>139</v>
      </c>
      <c r="CS151" s="1" t="s">
        <v>308</v>
      </c>
      <c r="CT151" s="1" t="s">
        <v>2141</v>
      </c>
      <c r="CW151" s="1" t="s">
        <v>141</v>
      </c>
      <c r="CX151" s="1" t="s">
        <v>2142</v>
      </c>
      <c r="CY151" s="1" t="s">
        <v>143</v>
      </c>
    </row>
    <row r="152" spans="1:105" s="3" customFormat="1" ht="11.25" customHeight="1" x14ac:dyDescent="0.2">
      <c r="A152" s="1">
        <v>41</v>
      </c>
      <c r="B152" s="1" t="s">
        <v>2144</v>
      </c>
      <c r="C152" s="1" t="s">
        <v>2143</v>
      </c>
      <c r="D152" s="1">
        <v>10843</v>
      </c>
      <c r="E152" s="2" t="s">
        <v>4201</v>
      </c>
      <c r="F152" s="1" t="s">
        <v>113</v>
      </c>
      <c r="G152" s="1" t="s">
        <v>190</v>
      </c>
      <c r="H152" s="1" t="s">
        <v>840</v>
      </c>
      <c r="I152" s="1" t="s">
        <v>229</v>
      </c>
      <c r="J152" s="1" t="s">
        <v>229</v>
      </c>
      <c r="L152" s="1" t="s">
        <v>111</v>
      </c>
      <c r="M152" s="1" t="s">
        <v>111</v>
      </c>
      <c r="N152" s="1" t="s">
        <v>112</v>
      </c>
      <c r="O152" s="1" t="s">
        <v>106</v>
      </c>
      <c r="P152" s="1" t="s">
        <v>113</v>
      </c>
      <c r="Q152" s="1" t="s">
        <v>152</v>
      </c>
      <c r="R152" s="1" t="s">
        <v>114</v>
      </c>
      <c r="S152" s="1" t="s">
        <v>114</v>
      </c>
      <c r="T152" s="1" t="s">
        <v>106</v>
      </c>
      <c r="U152" s="1" t="s">
        <v>2145</v>
      </c>
      <c r="V152" s="1" t="s">
        <v>2146</v>
      </c>
      <c r="W152" s="1" t="s">
        <v>115</v>
      </c>
      <c r="X152" s="1" t="s">
        <v>113</v>
      </c>
      <c r="Y152" s="1" t="s">
        <v>114</v>
      </c>
      <c r="Z152" s="1">
        <v>100</v>
      </c>
      <c r="AA152" s="1" t="s">
        <v>116</v>
      </c>
      <c r="AB152" s="1" t="s">
        <v>128</v>
      </c>
      <c r="AC152" s="1" t="s">
        <v>118</v>
      </c>
      <c r="AD152" s="1">
        <v>20</v>
      </c>
      <c r="AE152" s="1" t="s">
        <v>116</v>
      </c>
      <c r="AF152" s="1">
        <v>1500</v>
      </c>
      <c r="AG152" s="1" t="s">
        <v>106</v>
      </c>
      <c r="AH152" s="1">
        <v>51</v>
      </c>
      <c r="AI152" s="1">
        <v>32</v>
      </c>
      <c r="AJ152" s="1">
        <v>16</v>
      </c>
      <c r="AK152" s="1" t="s">
        <v>232</v>
      </c>
      <c r="AL152" s="1">
        <v>550</v>
      </c>
      <c r="AM152" s="1" t="s">
        <v>120</v>
      </c>
      <c r="AN152" s="1">
        <v>550</v>
      </c>
      <c r="AO152" s="1" t="s">
        <v>113</v>
      </c>
      <c r="AP152" s="1" t="s">
        <v>106</v>
      </c>
      <c r="AQ152" s="1" t="s">
        <v>2147</v>
      </c>
      <c r="AR152" s="1" t="s">
        <v>2148</v>
      </c>
      <c r="AS152" s="1" t="s">
        <v>2149</v>
      </c>
      <c r="AT152" s="1" t="s">
        <v>123</v>
      </c>
      <c r="AU152" s="1" t="s">
        <v>113</v>
      </c>
      <c r="AV152" s="1" t="s">
        <v>113</v>
      </c>
      <c r="AW152" s="1" t="s">
        <v>205</v>
      </c>
      <c r="AX152" s="1" t="s">
        <v>206</v>
      </c>
      <c r="AY152" s="1">
        <v>10</v>
      </c>
      <c r="AZ152" s="1" t="s">
        <v>113</v>
      </c>
      <c r="BA152" s="1" t="s">
        <v>113</v>
      </c>
      <c r="BB152" s="1" t="s">
        <v>125</v>
      </c>
      <c r="BC152" s="1" t="s">
        <v>166</v>
      </c>
      <c r="BD152" s="1">
        <v>0</v>
      </c>
      <c r="BE152" s="1">
        <v>100</v>
      </c>
      <c r="BF152" s="1" t="s">
        <v>167</v>
      </c>
      <c r="BG152" s="1" t="s">
        <v>116</v>
      </c>
      <c r="BH152" s="1" t="s">
        <v>207</v>
      </c>
      <c r="BI152" s="1" t="s">
        <v>207</v>
      </c>
      <c r="BJ152" s="1" t="s">
        <v>208</v>
      </c>
      <c r="BK152" s="1">
        <v>20</v>
      </c>
      <c r="BL152" s="1" t="s">
        <v>167</v>
      </c>
      <c r="BM152" s="1" t="s">
        <v>210</v>
      </c>
      <c r="BN152" s="1" t="s">
        <v>143</v>
      </c>
      <c r="BP152" s="1" t="s">
        <v>115</v>
      </c>
      <c r="BQ152" s="1" t="s">
        <v>2150</v>
      </c>
      <c r="BR152" s="1" t="s">
        <v>2151</v>
      </c>
      <c r="BS152" s="1" t="s">
        <v>2152</v>
      </c>
      <c r="BT152" s="1" t="s">
        <v>172</v>
      </c>
      <c r="BU152" s="1" t="s">
        <v>132</v>
      </c>
      <c r="BV152" s="1" t="s">
        <v>987</v>
      </c>
      <c r="BW152" s="1" t="s">
        <v>134</v>
      </c>
      <c r="BX152" s="1" t="s">
        <v>137</v>
      </c>
      <c r="BY152" s="1" t="s">
        <v>135</v>
      </c>
      <c r="BZ152" s="1" t="s">
        <v>1683</v>
      </c>
      <c r="CA152" s="1">
        <v>1500</v>
      </c>
      <c r="CB152" s="1" t="s">
        <v>176</v>
      </c>
      <c r="CC152" s="1" t="s">
        <v>301</v>
      </c>
      <c r="CD152" s="1" t="s">
        <v>2153</v>
      </c>
      <c r="CE152" s="1" t="s">
        <v>179</v>
      </c>
      <c r="CF152" s="1">
        <v>550000</v>
      </c>
      <c r="CG152" s="1">
        <v>700000</v>
      </c>
      <c r="CH152" s="1">
        <v>0</v>
      </c>
      <c r="CI152" s="1">
        <v>0</v>
      </c>
      <c r="CJ152" s="1">
        <v>0</v>
      </c>
      <c r="CK152" s="1">
        <v>0</v>
      </c>
      <c r="CL152" s="1">
        <v>0</v>
      </c>
      <c r="CM152" s="1">
        <v>0</v>
      </c>
      <c r="CN152" s="1">
        <v>0</v>
      </c>
      <c r="CO152" s="1">
        <v>0</v>
      </c>
      <c r="CP152" s="1">
        <v>0</v>
      </c>
      <c r="CQ152" s="1">
        <v>0</v>
      </c>
      <c r="CR152" s="1" t="s">
        <v>139</v>
      </c>
      <c r="CS152" s="1" t="s">
        <v>140</v>
      </c>
      <c r="CT152" s="1" t="s">
        <v>282</v>
      </c>
      <c r="CV152" s="1" t="s">
        <v>2154</v>
      </c>
      <c r="CW152" s="1" t="s">
        <v>251</v>
      </c>
      <c r="CX152" s="1" t="s">
        <v>114</v>
      </c>
      <c r="CY152" s="1" t="s">
        <v>143</v>
      </c>
      <c r="CZ152" s="1" t="s">
        <v>144</v>
      </c>
      <c r="DA152" s="1" t="s">
        <v>145</v>
      </c>
    </row>
    <row r="153" spans="1:105" s="3" customFormat="1" ht="11.25" customHeight="1" x14ac:dyDescent="0.2">
      <c r="A153" s="1">
        <v>41</v>
      </c>
      <c r="B153" s="1" t="s">
        <v>2156</v>
      </c>
      <c r="C153" s="1" t="s">
        <v>2155</v>
      </c>
      <c r="D153" s="1">
        <v>4532</v>
      </c>
      <c r="E153" s="2" t="s">
        <v>4201</v>
      </c>
      <c r="F153" s="1" t="s">
        <v>106</v>
      </c>
      <c r="G153" s="1" t="s">
        <v>2157</v>
      </c>
      <c r="H153" s="1" t="s">
        <v>359</v>
      </c>
      <c r="I153" s="1" t="s">
        <v>2158</v>
      </c>
      <c r="J153" s="1" t="s">
        <v>106</v>
      </c>
      <c r="L153" s="1" t="s">
        <v>111</v>
      </c>
      <c r="M153" s="1" t="s">
        <v>111</v>
      </c>
      <c r="N153" s="1" t="s">
        <v>112</v>
      </c>
      <c r="O153" s="1" t="s">
        <v>113</v>
      </c>
      <c r="P153" s="1" t="s">
        <v>113</v>
      </c>
      <c r="Q153" s="1" t="s">
        <v>1298</v>
      </c>
      <c r="R153" s="1" t="s">
        <v>2159</v>
      </c>
      <c r="S153" s="1" t="s">
        <v>114</v>
      </c>
      <c r="T153" s="1" t="s">
        <v>113</v>
      </c>
      <c r="U153" s="1" t="s">
        <v>114</v>
      </c>
      <c r="W153" s="1" t="s">
        <v>115</v>
      </c>
      <c r="X153" s="1" t="s">
        <v>113</v>
      </c>
      <c r="Z153" s="1">
        <v>100</v>
      </c>
      <c r="AA153" s="1" t="s">
        <v>116</v>
      </c>
      <c r="AB153" s="1" t="s">
        <v>128</v>
      </c>
      <c r="AC153" s="1" t="s">
        <v>128</v>
      </c>
      <c r="AD153" s="1">
        <v>0</v>
      </c>
      <c r="AE153" s="1" t="s">
        <v>114</v>
      </c>
      <c r="AF153" s="1" t="s">
        <v>2160</v>
      </c>
      <c r="AG153" s="1" t="s">
        <v>113</v>
      </c>
      <c r="AH153" s="1">
        <v>0</v>
      </c>
      <c r="AI153" s="1">
        <v>0</v>
      </c>
      <c r="AK153" s="1" t="s">
        <v>232</v>
      </c>
      <c r="AM153" s="1" t="s">
        <v>363</v>
      </c>
      <c r="AO153" s="1" t="s">
        <v>113</v>
      </c>
      <c r="AP153" s="1" t="s">
        <v>106</v>
      </c>
      <c r="AQ153" s="1" t="s">
        <v>2161</v>
      </c>
      <c r="AR153" s="1" t="s">
        <v>2162</v>
      </c>
      <c r="AS153" s="1" t="s">
        <v>2163</v>
      </c>
      <c r="AT153" s="1" t="s">
        <v>123</v>
      </c>
      <c r="AU153" s="1" t="s">
        <v>113</v>
      </c>
      <c r="AV153" s="1" t="s">
        <v>113</v>
      </c>
      <c r="AW153" s="1" t="s">
        <v>164</v>
      </c>
      <c r="AY153" s="1">
        <v>0</v>
      </c>
      <c r="AZ153" s="1" t="s">
        <v>113</v>
      </c>
      <c r="BA153" s="1" t="s">
        <v>113</v>
      </c>
      <c r="BB153" s="1" t="s">
        <v>125</v>
      </c>
      <c r="BD153" s="1">
        <v>0</v>
      </c>
      <c r="BE153" s="1">
        <v>100</v>
      </c>
      <c r="BF153" s="1" t="s">
        <v>167</v>
      </c>
      <c r="BG153" s="1" t="s">
        <v>116</v>
      </c>
      <c r="BJ153" s="1" t="s">
        <v>128</v>
      </c>
      <c r="BK153" s="1">
        <v>0</v>
      </c>
      <c r="BL153" s="1" t="s">
        <v>127</v>
      </c>
      <c r="BN153" s="1">
        <v>10</v>
      </c>
      <c r="BP153" s="1" t="s">
        <v>115</v>
      </c>
      <c r="BQ153" s="1" t="s">
        <v>359</v>
      </c>
      <c r="BR153" s="1" t="s">
        <v>2164</v>
      </c>
      <c r="BS153" s="1" t="s">
        <v>365</v>
      </c>
      <c r="BT153" s="1" t="s">
        <v>172</v>
      </c>
      <c r="BU153" s="1" t="s">
        <v>132</v>
      </c>
      <c r="BV153" s="1" t="s">
        <v>174</v>
      </c>
      <c r="BW153" s="1" t="s">
        <v>134</v>
      </c>
      <c r="BX153" s="1" t="s">
        <v>1742</v>
      </c>
      <c r="BY153" s="1" t="s">
        <v>135</v>
      </c>
      <c r="BZ153" s="1" t="s">
        <v>2165</v>
      </c>
      <c r="CA153" s="1" t="s">
        <v>2160</v>
      </c>
      <c r="CB153" s="1" t="s">
        <v>244</v>
      </c>
      <c r="CC153" s="1" t="s">
        <v>217</v>
      </c>
      <c r="CE153" s="1" t="s">
        <v>219</v>
      </c>
      <c r="CF153" s="1">
        <v>130062.39</v>
      </c>
      <c r="CG153" s="1">
        <v>179061.51</v>
      </c>
      <c r="CH153" s="1">
        <v>179061.51</v>
      </c>
      <c r="CI153" s="1">
        <v>179061.51</v>
      </c>
      <c r="CJ153" s="1">
        <v>179061.51</v>
      </c>
      <c r="CK153" s="1">
        <v>0</v>
      </c>
      <c r="CL153" s="1">
        <v>0</v>
      </c>
      <c r="CM153" s="1">
        <v>262500</v>
      </c>
      <c r="CN153" s="1" t="s">
        <v>2166</v>
      </c>
      <c r="CO153" s="1">
        <v>0</v>
      </c>
      <c r="CP153" s="1">
        <v>0</v>
      </c>
      <c r="CQ153" s="1">
        <v>0</v>
      </c>
      <c r="CS153" s="1" t="s">
        <v>140</v>
      </c>
      <c r="CT153" s="1" t="s">
        <v>114</v>
      </c>
      <c r="CW153" s="1" t="s">
        <v>141</v>
      </c>
      <c r="CX153" s="1" t="s">
        <v>2167</v>
      </c>
      <c r="CY153" s="1" t="s">
        <v>143</v>
      </c>
      <c r="CZ153" s="1" t="s">
        <v>144</v>
      </c>
      <c r="DA153" s="1" t="s">
        <v>145</v>
      </c>
    </row>
    <row r="154" spans="1:105" s="3" customFormat="1" ht="11.25" customHeight="1" x14ac:dyDescent="0.2">
      <c r="A154" s="1">
        <v>41</v>
      </c>
      <c r="B154" s="1" t="s">
        <v>2169</v>
      </c>
      <c r="C154" s="1" t="s">
        <v>2168</v>
      </c>
      <c r="D154" s="1">
        <v>11984</v>
      </c>
      <c r="E154" s="2" t="s">
        <v>4201</v>
      </c>
      <c r="F154" s="1" t="s">
        <v>113</v>
      </c>
      <c r="G154" s="1" t="s">
        <v>190</v>
      </c>
      <c r="H154" s="1">
        <v>0</v>
      </c>
      <c r="I154" s="1" t="s">
        <v>229</v>
      </c>
      <c r="J154" s="1" t="s">
        <v>229</v>
      </c>
      <c r="L154" s="1" t="s">
        <v>149</v>
      </c>
      <c r="M154" s="1" t="s">
        <v>2170</v>
      </c>
      <c r="N154" s="1" t="s">
        <v>112</v>
      </c>
      <c r="O154" s="1" t="s">
        <v>106</v>
      </c>
      <c r="P154" s="1" t="s">
        <v>106</v>
      </c>
      <c r="Q154" s="1" t="s">
        <v>195</v>
      </c>
      <c r="R154" s="1" t="s">
        <v>2171</v>
      </c>
      <c r="S154" s="1" t="s">
        <v>2172</v>
      </c>
      <c r="T154" s="1" t="s">
        <v>106</v>
      </c>
      <c r="U154" s="1" t="s">
        <v>2170</v>
      </c>
      <c r="V154" s="1" t="s">
        <v>2173</v>
      </c>
      <c r="W154" s="1" t="s">
        <v>115</v>
      </c>
      <c r="X154" s="1" t="s">
        <v>113</v>
      </c>
      <c r="Y154" s="1" t="s">
        <v>114</v>
      </c>
      <c r="Z154" s="1">
        <v>100</v>
      </c>
      <c r="AA154" s="1" t="s">
        <v>2174</v>
      </c>
      <c r="AB154" s="1" t="s">
        <v>128</v>
      </c>
      <c r="AC154" s="1" t="s">
        <v>118</v>
      </c>
      <c r="AD154" s="1">
        <v>10</v>
      </c>
      <c r="AE154" s="1" t="s">
        <v>2174</v>
      </c>
      <c r="AF154" s="1">
        <v>1073</v>
      </c>
      <c r="AG154" s="1" t="s">
        <v>106</v>
      </c>
      <c r="AH154" s="1">
        <v>66</v>
      </c>
      <c r="AI154" s="1">
        <v>6</v>
      </c>
      <c r="AJ154" s="1">
        <v>30</v>
      </c>
      <c r="AK154" s="1" t="s">
        <v>796</v>
      </c>
      <c r="AL154" s="1">
        <v>14156</v>
      </c>
      <c r="AM154" s="1" t="s">
        <v>2175</v>
      </c>
      <c r="AN154" s="1">
        <v>74</v>
      </c>
      <c r="AO154" s="1" t="s">
        <v>113</v>
      </c>
      <c r="AP154" s="1" t="s">
        <v>113</v>
      </c>
      <c r="AQ154" s="1" t="s">
        <v>127</v>
      </c>
      <c r="AR154" s="1" t="s">
        <v>157</v>
      </c>
      <c r="AS154" s="1" t="s">
        <v>157</v>
      </c>
      <c r="AT154" s="1" t="s">
        <v>204</v>
      </c>
      <c r="AU154" s="1" t="s">
        <v>106</v>
      </c>
      <c r="AV154" s="1" t="s">
        <v>113</v>
      </c>
      <c r="AW154" s="1" t="s">
        <v>164</v>
      </c>
      <c r="AX154" s="1" t="s">
        <v>1113</v>
      </c>
      <c r="AY154" s="1">
        <v>4100</v>
      </c>
      <c r="AZ154" s="1" t="s">
        <v>113</v>
      </c>
      <c r="BA154" s="1" t="s">
        <v>113</v>
      </c>
      <c r="BB154" s="1" t="s">
        <v>125</v>
      </c>
      <c r="BD154" s="1">
        <v>0</v>
      </c>
      <c r="BE154" s="1">
        <v>100</v>
      </c>
      <c r="BF154" s="1" t="s">
        <v>1165</v>
      </c>
      <c r="BG154" s="1" t="s">
        <v>268</v>
      </c>
      <c r="BH154" s="1" t="s">
        <v>269</v>
      </c>
      <c r="BI154" s="1" t="s">
        <v>269</v>
      </c>
      <c r="BJ154" s="1" t="s">
        <v>384</v>
      </c>
      <c r="BK154" s="1">
        <v>100</v>
      </c>
      <c r="BL154" s="1" t="s">
        <v>294</v>
      </c>
      <c r="BM154" s="1" t="s">
        <v>271</v>
      </c>
      <c r="BN154" s="1">
        <v>43</v>
      </c>
      <c r="BO154" s="1">
        <v>10</v>
      </c>
      <c r="BP154" s="1" t="s">
        <v>124</v>
      </c>
      <c r="BQ154" s="1" t="s">
        <v>2168</v>
      </c>
      <c r="BR154" s="1" t="s">
        <v>2176</v>
      </c>
      <c r="BS154" s="1" t="s">
        <v>2177</v>
      </c>
      <c r="BT154" s="1" t="s">
        <v>172</v>
      </c>
      <c r="BU154" s="1" t="s">
        <v>239</v>
      </c>
      <c r="BV154" s="1" t="s">
        <v>2178</v>
      </c>
      <c r="BW154" s="1" t="s">
        <v>134</v>
      </c>
      <c r="BX154" s="1" t="s">
        <v>175</v>
      </c>
      <c r="BY154" s="1" t="s">
        <v>135</v>
      </c>
      <c r="BZ154" s="1" t="s">
        <v>2179</v>
      </c>
      <c r="CA154" s="1">
        <v>1288</v>
      </c>
      <c r="CB154" s="1" t="s">
        <v>244</v>
      </c>
      <c r="CC154" s="1" t="s">
        <v>217</v>
      </c>
      <c r="CD154" s="1" t="s">
        <v>2180</v>
      </c>
      <c r="CE154" s="1" t="s">
        <v>179</v>
      </c>
      <c r="CF154" s="1">
        <v>463355.82</v>
      </c>
      <c r="CG154" s="1">
        <v>2037598.74</v>
      </c>
      <c r="CH154" s="1">
        <v>187.4</v>
      </c>
      <c r="CI154" s="1">
        <v>0</v>
      </c>
      <c r="CJ154" s="1">
        <v>355.43</v>
      </c>
      <c r="CK154" s="1">
        <v>377.48</v>
      </c>
      <c r="CL154" s="1">
        <v>760</v>
      </c>
      <c r="CM154" s="1">
        <v>355</v>
      </c>
      <c r="CN154" s="1">
        <v>0</v>
      </c>
      <c r="CO154" s="1">
        <v>0</v>
      </c>
      <c r="CP154" s="1">
        <v>0</v>
      </c>
      <c r="CQ154" s="1">
        <v>0</v>
      </c>
      <c r="CR154" s="1" t="s">
        <v>139</v>
      </c>
      <c r="CS154" s="1" t="s">
        <v>140</v>
      </c>
      <c r="CT154" s="1" t="s">
        <v>479</v>
      </c>
      <c r="CU154" s="1" t="s">
        <v>2181</v>
      </c>
      <c r="CV154" s="1" t="s">
        <v>2182</v>
      </c>
      <c r="CW154" s="1" t="s">
        <v>141</v>
      </c>
      <c r="CX154" s="1" t="s">
        <v>2183</v>
      </c>
      <c r="CY154" s="1" t="s">
        <v>143</v>
      </c>
      <c r="CZ154" s="1" t="s">
        <v>144</v>
      </c>
      <c r="DA154" s="1" t="s">
        <v>145</v>
      </c>
    </row>
    <row r="155" spans="1:105" s="3" customFormat="1" ht="11.25" customHeight="1" x14ac:dyDescent="0.2">
      <c r="A155" s="1">
        <v>41</v>
      </c>
      <c r="B155" s="1" t="s">
        <v>2185</v>
      </c>
      <c r="C155" s="1" t="s">
        <v>2184</v>
      </c>
      <c r="D155" s="1">
        <v>6215</v>
      </c>
      <c r="E155" s="2" t="s">
        <v>4201</v>
      </c>
      <c r="F155" s="1" t="s">
        <v>113</v>
      </c>
      <c r="G155" s="1" t="s">
        <v>190</v>
      </c>
      <c r="H155" s="1" t="s">
        <v>111</v>
      </c>
      <c r="I155" s="1" t="s">
        <v>229</v>
      </c>
      <c r="J155" s="1" t="s">
        <v>229</v>
      </c>
      <c r="K155" s="1" t="s">
        <v>111</v>
      </c>
      <c r="L155" s="1" t="s">
        <v>111</v>
      </c>
      <c r="M155" s="1" t="s">
        <v>465</v>
      </c>
      <c r="N155" s="1" t="s">
        <v>112</v>
      </c>
      <c r="O155" s="1" t="s">
        <v>113</v>
      </c>
      <c r="P155" s="1" t="s">
        <v>113</v>
      </c>
      <c r="Q155" s="1" t="s">
        <v>111</v>
      </c>
      <c r="R155" s="1" t="s">
        <v>111</v>
      </c>
      <c r="S155" s="1" t="s">
        <v>111</v>
      </c>
      <c r="T155" s="1" t="s">
        <v>106</v>
      </c>
      <c r="U155" s="1" t="s">
        <v>2186</v>
      </c>
      <c r="V155" s="1" t="s">
        <v>468</v>
      </c>
      <c r="W155" s="1" t="s">
        <v>115</v>
      </c>
      <c r="X155" s="1" t="s">
        <v>113</v>
      </c>
      <c r="Y155" s="1" t="s">
        <v>114</v>
      </c>
      <c r="Z155" s="1">
        <v>100</v>
      </c>
      <c r="AA155" s="1" t="s">
        <v>116</v>
      </c>
      <c r="AB155" s="1" t="s">
        <v>128</v>
      </c>
      <c r="AC155" s="1" t="s">
        <v>128</v>
      </c>
      <c r="AD155" s="5" t="s">
        <v>220</v>
      </c>
      <c r="AE155" s="1" t="s">
        <v>465</v>
      </c>
      <c r="AF155" s="5" t="s">
        <v>220</v>
      </c>
      <c r="AG155" s="1" t="s">
        <v>113</v>
      </c>
      <c r="AH155" s="5" t="s">
        <v>220</v>
      </c>
      <c r="AI155" s="5" t="s">
        <v>220</v>
      </c>
      <c r="AJ155" s="5" t="s">
        <v>220</v>
      </c>
      <c r="AK155" s="1" t="s">
        <v>200</v>
      </c>
      <c r="AL155" s="1">
        <v>50</v>
      </c>
      <c r="AM155" s="1" t="s">
        <v>172</v>
      </c>
      <c r="AN155" s="1">
        <v>15</v>
      </c>
      <c r="AO155" s="1" t="s">
        <v>113</v>
      </c>
      <c r="AP155" s="1" t="s">
        <v>113</v>
      </c>
      <c r="AQ155" s="1" t="s">
        <v>230</v>
      </c>
      <c r="AR155" s="1" t="s">
        <v>230</v>
      </c>
      <c r="AS155" s="1" t="s">
        <v>230</v>
      </c>
      <c r="AT155" s="1" t="s">
        <v>123</v>
      </c>
      <c r="AU155" s="1" t="s">
        <v>113</v>
      </c>
      <c r="AV155" s="1" t="s">
        <v>113</v>
      </c>
      <c r="AW155" s="1" t="s">
        <v>164</v>
      </c>
      <c r="AX155" s="1" t="s">
        <v>165</v>
      </c>
      <c r="AY155" s="5" t="s">
        <v>220</v>
      </c>
      <c r="AZ155" s="1" t="s">
        <v>113</v>
      </c>
      <c r="BA155" s="1" t="s">
        <v>113</v>
      </c>
      <c r="BB155" s="1" t="s">
        <v>125</v>
      </c>
      <c r="BC155" s="1" t="s">
        <v>166</v>
      </c>
      <c r="BD155" s="5" t="s">
        <v>220</v>
      </c>
      <c r="BE155" s="1">
        <v>100</v>
      </c>
      <c r="BF155" s="1" t="s">
        <v>167</v>
      </c>
      <c r="BG155" s="1" t="s">
        <v>132</v>
      </c>
      <c r="BH155" s="1" t="s">
        <v>168</v>
      </c>
      <c r="BI155" s="1" t="s">
        <v>168</v>
      </c>
      <c r="BJ155" s="1" t="s">
        <v>128</v>
      </c>
      <c r="BK155" s="5" t="s">
        <v>220</v>
      </c>
      <c r="BL155" s="1" t="s">
        <v>127</v>
      </c>
      <c r="BM155" s="1" t="s">
        <v>114</v>
      </c>
      <c r="BN155" s="1" t="s">
        <v>143</v>
      </c>
      <c r="BO155" s="1" t="s">
        <v>143</v>
      </c>
      <c r="BP155" s="1" t="s">
        <v>124</v>
      </c>
      <c r="BQ155" s="1" t="s">
        <v>2187</v>
      </c>
      <c r="BR155" s="1" t="s">
        <v>2188</v>
      </c>
      <c r="BS155" s="1" t="s">
        <v>2189</v>
      </c>
      <c r="BT155" s="1" t="s">
        <v>172</v>
      </c>
      <c r="BU155" s="1" t="s">
        <v>132</v>
      </c>
      <c r="BV155" s="1" t="s">
        <v>2190</v>
      </c>
      <c r="BW155" s="1" t="s">
        <v>134</v>
      </c>
      <c r="BX155" s="1" t="s">
        <v>137</v>
      </c>
      <c r="BY155" s="1" t="s">
        <v>135</v>
      </c>
      <c r="BZ155" s="1" t="s">
        <v>2191</v>
      </c>
      <c r="CA155" s="1">
        <v>976</v>
      </c>
      <c r="CB155" s="1" t="s">
        <v>244</v>
      </c>
      <c r="CC155" s="1" t="s">
        <v>217</v>
      </c>
      <c r="CD155" s="1" t="s">
        <v>2192</v>
      </c>
      <c r="CE155" s="1" t="s">
        <v>660</v>
      </c>
      <c r="CF155" s="6">
        <v>167667.56</v>
      </c>
      <c r="CG155" s="6">
        <v>209000</v>
      </c>
      <c r="CH155" s="5" t="s">
        <v>220</v>
      </c>
      <c r="CI155" s="5" t="s">
        <v>220</v>
      </c>
      <c r="CJ155" s="5" t="s">
        <v>220</v>
      </c>
      <c r="CK155" s="5" t="s">
        <v>220</v>
      </c>
      <c r="CL155" s="5" t="s">
        <v>220</v>
      </c>
      <c r="CM155" s="5" t="s">
        <v>220</v>
      </c>
      <c r="CN155" s="5" t="s">
        <v>220</v>
      </c>
      <c r="CO155" s="5" t="s">
        <v>220</v>
      </c>
      <c r="CP155" s="5" t="s">
        <v>220</v>
      </c>
      <c r="CQ155" s="5" t="s">
        <v>220</v>
      </c>
      <c r="CR155" s="1" t="s">
        <v>139</v>
      </c>
      <c r="CS155" s="1" t="s">
        <v>2193</v>
      </c>
      <c r="CT155" s="1" t="s">
        <v>1688</v>
      </c>
      <c r="CV155" s="1" t="s">
        <v>2194</v>
      </c>
      <c r="CW155" s="1" t="s">
        <v>284</v>
      </c>
      <c r="CX155" s="1" t="s">
        <v>2195</v>
      </c>
      <c r="CY155" s="1" t="s">
        <v>127</v>
      </c>
      <c r="CZ155" s="1" t="s">
        <v>144</v>
      </c>
      <c r="DA155" s="1" t="s">
        <v>145</v>
      </c>
    </row>
    <row r="156" spans="1:105" s="3" customFormat="1" ht="11.25" customHeight="1" x14ac:dyDescent="0.2">
      <c r="A156" s="1">
        <v>41</v>
      </c>
      <c r="B156" s="1" t="s">
        <v>2197</v>
      </c>
      <c r="C156" s="1" t="s">
        <v>2196</v>
      </c>
      <c r="D156" s="1">
        <v>12766</v>
      </c>
      <c r="E156" s="2" t="s">
        <v>4201</v>
      </c>
      <c r="F156" s="1" t="s">
        <v>113</v>
      </c>
      <c r="G156" s="1" t="s">
        <v>190</v>
      </c>
      <c r="H156" s="1" t="s">
        <v>545</v>
      </c>
      <c r="I156" s="1" t="s">
        <v>229</v>
      </c>
      <c r="J156" s="1" t="s">
        <v>113</v>
      </c>
      <c r="K156" s="1"/>
      <c r="L156" s="1" t="s">
        <v>111</v>
      </c>
      <c r="M156" s="1" t="s">
        <v>111</v>
      </c>
      <c r="N156" s="1" t="s">
        <v>2002</v>
      </c>
      <c r="O156" s="1" t="s">
        <v>113</v>
      </c>
      <c r="P156" s="1" t="s">
        <v>113</v>
      </c>
      <c r="Q156" s="1" t="s">
        <v>195</v>
      </c>
      <c r="R156" s="1" t="s">
        <v>114</v>
      </c>
      <c r="S156" s="1" t="s">
        <v>114</v>
      </c>
      <c r="T156" s="1" t="s">
        <v>106</v>
      </c>
      <c r="U156" s="1" t="s">
        <v>2198</v>
      </c>
      <c r="V156" s="1" t="s">
        <v>1001</v>
      </c>
      <c r="W156" s="1" t="s">
        <v>199</v>
      </c>
      <c r="X156" s="1" t="s">
        <v>113</v>
      </c>
      <c r="Y156" s="1" t="s">
        <v>114</v>
      </c>
      <c r="Z156" s="1">
        <v>100</v>
      </c>
      <c r="AA156" s="1" t="s">
        <v>116</v>
      </c>
      <c r="AB156" s="1" t="s">
        <v>128</v>
      </c>
      <c r="AC156" s="1" t="s">
        <v>384</v>
      </c>
      <c r="AD156" s="1">
        <v>100</v>
      </c>
      <c r="AE156" s="1" t="s">
        <v>116</v>
      </c>
      <c r="AF156" s="1">
        <v>2299</v>
      </c>
      <c r="AG156" s="1" t="s">
        <v>113</v>
      </c>
      <c r="AH156" s="1">
        <v>45</v>
      </c>
      <c r="AI156" s="1">
        <v>40</v>
      </c>
      <c r="AJ156" s="1">
        <v>15</v>
      </c>
      <c r="AK156" s="1" t="s">
        <v>408</v>
      </c>
      <c r="AL156" s="1"/>
      <c r="AM156" s="1" t="s">
        <v>2199</v>
      </c>
      <c r="AN156" s="1"/>
      <c r="AO156" s="1" t="s">
        <v>113</v>
      </c>
      <c r="AP156" s="1" t="s">
        <v>113</v>
      </c>
      <c r="AQ156" s="1" t="s">
        <v>114</v>
      </c>
      <c r="AR156" s="1" t="s">
        <v>114</v>
      </c>
      <c r="AS156" s="1" t="s">
        <v>114</v>
      </c>
      <c r="AT156" s="1" t="s">
        <v>123</v>
      </c>
      <c r="AU156" s="1" t="s">
        <v>106</v>
      </c>
      <c r="AV156" s="1" t="s">
        <v>113</v>
      </c>
      <c r="AW156" s="1" t="s">
        <v>164</v>
      </c>
      <c r="AX156" s="1" t="s">
        <v>165</v>
      </c>
      <c r="AY156" s="1">
        <v>100</v>
      </c>
      <c r="AZ156" s="1" t="s">
        <v>113</v>
      </c>
      <c r="BA156" s="1" t="s">
        <v>113</v>
      </c>
      <c r="BB156" s="1" t="s">
        <v>125</v>
      </c>
      <c r="BC156" s="1"/>
      <c r="BD156" s="1">
        <v>0</v>
      </c>
      <c r="BE156" s="1">
        <v>100</v>
      </c>
      <c r="BF156" s="1" t="s">
        <v>167</v>
      </c>
      <c r="BG156" s="1" t="s">
        <v>116</v>
      </c>
      <c r="BH156" s="1"/>
      <c r="BI156" s="1" t="s">
        <v>207</v>
      </c>
      <c r="BJ156" s="1" t="s">
        <v>384</v>
      </c>
      <c r="BK156" s="1">
        <v>100</v>
      </c>
      <c r="BL156" s="1" t="s">
        <v>167</v>
      </c>
      <c r="BM156" s="1" t="s">
        <v>210</v>
      </c>
      <c r="BN156" s="1">
        <v>0</v>
      </c>
      <c r="BO156" s="1">
        <v>21</v>
      </c>
      <c r="BP156" s="1" t="s">
        <v>115</v>
      </c>
      <c r="BQ156" s="1" t="s">
        <v>2200</v>
      </c>
      <c r="BR156" s="1" t="s">
        <v>2201</v>
      </c>
      <c r="BS156" s="1" t="s">
        <v>2202</v>
      </c>
      <c r="BT156" s="1" t="s">
        <v>172</v>
      </c>
      <c r="BU156" s="1" t="s">
        <v>132</v>
      </c>
      <c r="BV156" s="1" t="s">
        <v>2203</v>
      </c>
      <c r="BW156" s="1" t="s">
        <v>134</v>
      </c>
      <c r="BX156" s="1" t="s">
        <v>325</v>
      </c>
      <c r="BY156" s="1" t="s">
        <v>299</v>
      </c>
      <c r="BZ156" s="1" t="s">
        <v>2204</v>
      </c>
      <c r="CA156" s="1">
        <v>901</v>
      </c>
      <c r="CB156" s="1" t="s">
        <v>176</v>
      </c>
      <c r="CC156" s="1" t="s">
        <v>301</v>
      </c>
      <c r="CD156" s="1"/>
      <c r="CE156" s="1" t="s">
        <v>179</v>
      </c>
      <c r="CF156" s="4">
        <v>795513</v>
      </c>
      <c r="CG156" s="1">
        <v>1147754</v>
      </c>
      <c r="CH156" s="1">
        <v>499</v>
      </c>
      <c r="CI156" s="1">
        <v>0</v>
      </c>
      <c r="CJ156" s="1">
        <v>0</v>
      </c>
      <c r="CK156" s="1">
        <v>0</v>
      </c>
      <c r="CL156" s="1">
        <v>0</v>
      </c>
      <c r="CM156" s="1">
        <v>0</v>
      </c>
      <c r="CN156" s="1">
        <v>0</v>
      </c>
      <c r="CO156" s="1">
        <v>0</v>
      </c>
      <c r="CP156" s="1">
        <v>0</v>
      </c>
      <c r="CQ156" s="1">
        <v>0</v>
      </c>
      <c r="CR156" s="1" t="s">
        <v>139</v>
      </c>
      <c r="CS156" s="1" t="s">
        <v>140</v>
      </c>
      <c r="CT156" s="1" t="s">
        <v>479</v>
      </c>
      <c r="CU156" s="1"/>
      <c r="CV156" s="1"/>
      <c r="CW156" s="1" t="s">
        <v>251</v>
      </c>
      <c r="CX156" s="1" t="s">
        <v>114</v>
      </c>
      <c r="CY156" s="1" t="s">
        <v>114</v>
      </c>
      <c r="CZ156" s="1"/>
      <c r="DA156" s="1"/>
    </row>
    <row r="157" spans="1:105" s="3" customFormat="1" ht="11.25" customHeight="1" x14ac:dyDescent="0.2">
      <c r="A157" s="1">
        <v>41</v>
      </c>
      <c r="B157" s="1" t="s">
        <v>2206</v>
      </c>
      <c r="C157" s="1" t="s">
        <v>2205</v>
      </c>
      <c r="D157" s="1">
        <v>32890</v>
      </c>
      <c r="E157" s="2" t="s">
        <v>4201</v>
      </c>
      <c r="F157" s="1" t="s">
        <v>106</v>
      </c>
      <c r="G157" s="1" t="s">
        <v>107</v>
      </c>
      <c r="H157" s="1" t="s">
        <v>2207</v>
      </c>
      <c r="I157" s="1" t="s">
        <v>1348</v>
      </c>
      <c r="J157" s="1" t="s">
        <v>106</v>
      </c>
      <c r="K157" s="1" t="s">
        <v>2208</v>
      </c>
      <c r="L157" s="1" t="s">
        <v>111</v>
      </c>
      <c r="M157" s="1" t="s">
        <v>230</v>
      </c>
      <c r="N157" s="1" t="s">
        <v>112</v>
      </c>
      <c r="O157" s="1" t="s">
        <v>113</v>
      </c>
      <c r="P157" s="1" t="s">
        <v>113</v>
      </c>
      <c r="Q157" s="1" t="s">
        <v>195</v>
      </c>
      <c r="R157" s="1" t="s">
        <v>2209</v>
      </c>
      <c r="S157" s="1" t="s">
        <v>2210</v>
      </c>
      <c r="T157" s="1" t="s">
        <v>106</v>
      </c>
      <c r="U157" s="1" t="s">
        <v>2211</v>
      </c>
      <c r="V157" s="1" t="s">
        <v>2212</v>
      </c>
      <c r="W157" s="1" t="s">
        <v>199</v>
      </c>
      <c r="X157" s="1" t="s">
        <v>113</v>
      </c>
      <c r="Y157" s="1" t="s">
        <v>127</v>
      </c>
      <c r="Z157" s="1">
        <v>100</v>
      </c>
      <c r="AA157" s="1" t="s">
        <v>132</v>
      </c>
      <c r="AB157" s="1" t="s">
        <v>128</v>
      </c>
      <c r="AC157" s="1" t="s">
        <v>118</v>
      </c>
      <c r="AD157" s="1">
        <v>70</v>
      </c>
      <c r="AE157" s="1" t="s">
        <v>132</v>
      </c>
      <c r="AF157" s="1">
        <v>5000</v>
      </c>
      <c r="AG157" s="1" t="s">
        <v>106</v>
      </c>
      <c r="AH157" s="1">
        <v>46</v>
      </c>
      <c r="AI157" s="1">
        <v>40</v>
      </c>
      <c r="AJ157" s="1">
        <v>14</v>
      </c>
      <c r="AK157" s="1" t="s">
        <v>232</v>
      </c>
      <c r="AM157" s="1" t="s">
        <v>2213</v>
      </c>
      <c r="AN157" s="1">
        <v>3000</v>
      </c>
      <c r="AO157" s="1" t="s">
        <v>113</v>
      </c>
      <c r="AP157" s="1" t="s">
        <v>106</v>
      </c>
      <c r="AQ157" s="1" t="s">
        <v>2214</v>
      </c>
      <c r="AR157" s="1" t="s">
        <v>2215</v>
      </c>
      <c r="AS157" s="1" t="s">
        <v>2216</v>
      </c>
      <c r="AT157" s="1" t="s">
        <v>628</v>
      </c>
      <c r="AU157" s="1" t="s">
        <v>113</v>
      </c>
      <c r="AV157" s="1" t="s">
        <v>113</v>
      </c>
      <c r="AW157" s="1" t="s">
        <v>164</v>
      </c>
      <c r="AX157" s="1" t="s">
        <v>165</v>
      </c>
      <c r="AY157" s="1">
        <v>1</v>
      </c>
      <c r="AZ157" s="1" t="s">
        <v>113</v>
      </c>
      <c r="BA157" s="1" t="s">
        <v>106</v>
      </c>
      <c r="BB157" s="1" t="s">
        <v>125</v>
      </c>
      <c r="BC157" s="1" t="s">
        <v>166</v>
      </c>
      <c r="BD157" s="1">
        <v>1</v>
      </c>
      <c r="BE157" s="1">
        <v>85</v>
      </c>
      <c r="BF157" s="1" t="s">
        <v>167</v>
      </c>
      <c r="BG157" s="1" t="s">
        <v>116</v>
      </c>
      <c r="BI157" s="1" t="s">
        <v>269</v>
      </c>
      <c r="BJ157" s="1" t="s">
        <v>208</v>
      </c>
      <c r="BK157" s="1">
        <v>80</v>
      </c>
      <c r="BL157" s="1" t="s">
        <v>167</v>
      </c>
      <c r="BM157" s="1" t="s">
        <v>210</v>
      </c>
      <c r="BN157" s="1" t="s">
        <v>2217</v>
      </c>
      <c r="BO157" s="1" t="s">
        <v>2217</v>
      </c>
      <c r="BP157" s="1" t="s">
        <v>115</v>
      </c>
      <c r="BQ157" s="1" t="s">
        <v>2208</v>
      </c>
      <c r="BR157" s="1" t="s">
        <v>2218</v>
      </c>
      <c r="BS157" s="1" t="s">
        <v>130</v>
      </c>
      <c r="BT157" s="1" t="s">
        <v>172</v>
      </c>
      <c r="BU157" s="1" t="s">
        <v>132</v>
      </c>
      <c r="BV157" s="1" t="s">
        <v>2219</v>
      </c>
      <c r="BW157" s="1" t="s">
        <v>134</v>
      </c>
      <c r="BX157" s="1" t="s">
        <v>2220</v>
      </c>
      <c r="BY157" s="1" t="s">
        <v>135</v>
      </c>
      <c r="BZ157" s="1" t="s">
        <v>2221</v>
      </c>
      <c r="CA157" s="1">
        <v>4800</v>
      </c>
      <c r="CB157" s="1" t="s">
        <v>176</v>
      </c>
      <c r="CC157" s="1" t="s">
        <v>301</v>
      </c>
      <c r="CD157" s="1" t="s">
        <v>2209</v>
      </c>
      <c r="CE157" s="1" t="s">
        <v>219</v>
      </c>
      <c r="CF157" s="1">
        <v>50000</v>
      </c>
      <c r="CG157" s="1">
        <v>450000</v>
      </c>
      <c r="CH157" s="1">
        <v>100</v>
      </c>
      <c r="CI157" s="1">
        <v>290</v>
      </c>
      <c r="CJ157" s="1">
        <v>60000</v>
      </c>
      <c r="CK157" s="1">
        <v>200</v>
      </c>
      <c r="CL157" s="1">
        <v>650</v>
      </c>
      <c r="CM157" s="1">
        <v>100</v>
      </c>
      <c r="CN157" s="1">
        <v>1</v>
      </c>
      <c r="CO157" s="1">
        <v>1</v>
      </c>
      <c r="CP157" s="1">
        <v>1</v>
      </c>
      <c r="CQ157" s="1">
        <v>1</v>
      </c>
      <c r="CR157" s="1" t="s">
        <v>139</v>
      </c>
      <c r="CS157" s="1" t="s">
        <v>140</v>
      </c>
      <c r="CT157" s="1" t="s">
        <v>282</v>
      </c>
      <c r="CW157" s="1" t="s">
        <v>251</v>
      </c>
      <c r="CX157" s="1" t="s">
        <v>745</v>
      </c>
      <c r="CY157" s="1" t="s">
        <v>143</v>
      </c>
      <c r="CZ157" s="1" t="s">
        <v>144</v>
      </c>
      <c r="DA157" s="1" t="s">
        <v>145</v>
      </c>
    </row>
    <row r="158" spans="1:105" s="3" customFormat="1" ht="11.25" customHeight="1" x14ac:dyDescent="0.2">
      <c r="A158" s="1">
        <v>41</v>
      </c>
      <c r="B158" s="1" t="s">
        <v>2223</v>
      </c>
      <c r="C158" s="1" t="s">
        <v>2222</v>
      </c>
      <c r="D158" s="1">
        <v>3620</v>
      </c>
      <c r="E158" s="2" t="s">
        <v>4201</v>
      </c>
      <c r="F158" s="1" t="s">
        <v>106</v>
      </c>
      <c r="G158" s="1" t="s">
        <v>2224</v>
      </c>
      <c r="H158" s="1" t="s">
        <v>2225</v>
      </c>
      <c r="I158" s="1" t="s">
        <v>193</v>
      </c>
      <c r="J158" s="1" t="s">
        <v>113</v>
      </c>
      <c r="K158" s="1" t="s">
        <v>373</v>
      </c>
      <c r="L158" s="1" t="s">
        <v>111</v>
      </c>
      <c r="M158" s="1" t="s">
        <v>111</v>
      </c>
      <c r="N158" s="1" t="s">
        <v>2226</v>
      </c>
      <c r="O158" s="1" t="s">
        <v>106</v>
      </c>
      <c r="P158" s="1" t="s">
        <v>113</v>
      </c>
      <c r="Q158" s="1" t="s">
        <v>195</v>
      </c>
      <c r="R158" s="1" t="s">
        <v>114</v>
      </c>
      <c r="S158" s="1" t="s">
        <v>2227</v>
      </c>
      <c r="T158" s="1" t="s">
        <v>106</v>
      </c>
      <c r="U158" s="1" t="s">
        <v>2228</v>
      </c>
      <c r="V158" s="1" t="s">
        <v>2229</v>
      </c>
      <c r="W158" s="1" t="s">
        <v>115</v>
      </c>
      <c r="X158" s="1" t="s">
        <v>113</v>
      </c>
      <c r="Y158" s="1" t="s">
        <v>373</v>
      </c>
      <c r="Z158" s="1">
        <v>100</v>
      </c>
      <c r="AA158" s="1" t="s">
        <v>116</v>
      </c>
      <c r="AB158" s="1" t="s">
        <v>128</v>
      </c>
      <c r="AC158" s="1" t="s">
        <v>384</v>
      </c>
      <c r="AD158" s="1">
        <v>100</v>
      </c>
      <c r="AE158" s="1" t="s">
        <v>116</v>
      </c>
      <c r="AF158" s="1">
        <v>600</v>
      </c>
      <c r="AG158" s="1" t="s">
        <v>106</v>
      </c>
      <c r="AH158" s="1">
        <v>39</v>
      </c>
      <c r="AI158" s="1">
        <v>32</v>
      </c>
      <c r="AJ158" s="1">
        <v>29</v>
      </c>
      <c r="AK158" s="1" t="s">
        <v>200</v>
      </c>
      <c r="AL158" s="1">
        <v>240</v>
      </c>
      <c r="AM158" s="1" t="s">
        <v>2230</v>
      </c>
      <c r="AN158" s="1">
        <v>0</v>
      </c>
      <c r="AO158" s="1" t="s">
        <v>113</v>
      </c>
      <c r="AP158" s="1" t="s">
        <v>113</v>
      </c>
      <c r="AQ158" s="1" t="s">
        <v>114</v>
      </c>
      <c r="AR158" s="1" t="s">
        <v>290</v>
      </c>
      <c r="AS158" s="1" t="s">
        <v>290</v>
      </c>
      <c r="AT158" s="1" t="s">
        <v>2231</v>
      </c>
      <c r="AU158" s="1" t="s">
        <v>113</v>
      </c>
      <c r="AV158" s="1" t="s">
        <v>113</v>
      </c>
      <c r="AW158" s="1" t="s">
        <v>234</v>
      </c>
      <c r="AX158" s="1" t="s">
        <v>946</v>
      </c>
      <c r="AY158" s="1">
        <v>36</v>
      </c>
      <c r="AZ158" s="1" t="s">
        <v>113</v>
      </c>
      <c r="BA158" s="1" t="s">
        <v>113</v>
      </c>
      <c r="BB158" s="1" t="s">
        <v>125</v>
      </c>
      <c r="BC158" s="1" t="s">
        <v>166</v>
      </c>
      <c r="BD158" s="1">
        <v>0</v>
      </c>
      <c r="BE158" s="1">
        <v>100</v>
      </c>
      <c r="BF158" s="1" t="s">
        <v>167</v>
      </c>
      <c r="BG158" s="1" t="s">
        <v>116</v>
      </c>
      <c r="BH158" s="1" t="s">
        <v>168</v>
      </c>
      <c r="BI158" s="1" t="s">
        <v>269</v>
      </c>
      <c r="BJ158" s="1" t="s">
        <v>384</v>
      </c>
      <c r="BK158" s="1">
        <v>100</v>
      </c>
      <c r="BL158" s="1" t="s">
        <v>167</v>
      </c>
      <c r="BM158" s="1" t="s">
        <v>210</v>
      </c>
      <c r="BN158" s="1">
        <v>2</v>
      </c>
      <c r="BO158" s="1">
        <v>2</v>
      </c>
      <c r="BP158" s="1" t="s">
        <v>124</v>
      </c>
      <c r="BQ158" s="1" t="s">
        <v>2232</v>
      </c>
      <c r="BR158" s="1" t="s">
        <v>2233</v>
      </c>
      <c r="BS158" s="1" t="s">
        <v>2234</v>
      </c>
      <c r="BT158" s="1" t="s">
        <v>172</v>
      </c>
      <c r="BU158" s="1" t="s">
        <v>239</v>
      </c>
      <c r="BV158" s="1" t="s">
        <v>2235</v>
      </c>
      <c r="BW158" s="1" t="s">
        <v>298</v>
      </c>
      <c r="BX158" s="1" t="s">
        <v>1669</v>
      </c>
      <c r="BY158" s="1" t="s">
        <v>299</v>
      </c>
      <c r="BZ158" s="1" t="s">
        <v>2236</v>
      </c>
      <c r="CA158" s="1">
        <v>600</v>
      </c>
      <c r="CB158" s="1" t="s">
        <v>176</v>
      </c>
      <c r="CC158" s="1" t="s">
        <v>301</v>
      </c>
      <c r="CD158" s="1" t="s">
        <v>2237</v>
      </c>
      <c r="CE158" s="1" t="s">
        <v>179</v>
      </c>
      <c r="CF158" s="6">
        <v>159842.9</v>
      </c>
      <c r="CG158" s="6">
        <v>26400</v>
      </c>
      <c r="CH158" s="1">
        <v>0</v>
      </c>
      <c r="CI158" s="1" t="s">
        <v>114</v>
      </c>
      <c r="CJ158" s="1">
        <v>0</v>
      </c>
      <c r="CK158" s="1">
        <v>0</v>
      </c>
      <c r="CL158" s="1">
        <v>0</v>
      </c>
      <c r="CM158" s="1">
        <v>0</v>
      </c>
      <c r="CN158" s="1">
        <v>0</v>
      </c>
      <c r="CO158" s="1">
        <v>0</v>
      </c>
      <c r="CP158" s="1">
        <v>0</v>
      </c>
      <c r="CQ158" s="1">
        <v>0</v>
      </c>
      <c r="CR158" s="1" t="s">
        <v>139</v>
      </c>
      <c r="CS158" s="1" t="s">
        <v>140</v>
      </c>
      <c r="CT158" s="1" t="s">
        <v>282</v>
      </c>
      <c r="CU158" s="1" t="s">
        <v>2238</v>
      </c>
      <c r="CV158" s="1" t="s">
        <v>2239</v>
      </c>
      <c r="CW158" s="1" t="s">
        <v>141</v>
      </c>
      <c r="CX158" s="1" t="s">
        <v>2240</v>
      </c>
      <c r="CY158" s="1" t="s">
        <v>2241</v>
      </c>
      <c r="CZ158" s="1" t="s">
        <v>144</v>
      </c>
      <c r="DA158" s="1" t="s">
        <v>145</v>
      </c>
    </row>
    <row r="159" spans="1:105" s="3" customFormat="1" ht="11.25" customHeight="1" x14ac:dyDescent="0.2">
      <c r="A159" s="1">
        <v>41</v>
      </c>
      <c r="B159" s="1" t="s">
        <v>2243</v>
      </c>
      <c r="C159" s="1" t="s">
        <v>2242</v>
      </c>
      <c r="D159" s="1">
        <v>33529</v>
      </c>
      <c r="E159" s="2" t="s">
        <v>4201</v>
      </c>
      <c r="F159" s="1" t="s">
        <v>113</v>
      </c>
      <c r="G159" s="1" t="s">
        <v>190</v>
      </c>
      <c r="H159" s="1" t="s">
        <v>2244</v>
      </c>
      <c r="I159" s="1" t="s">
        <v>193</v>
      </c>
      <c r="J159" s="1" t="s">
        <v>229</v>
      </c>
      <c r="K159" s="1" t="s">
        <v>2244</v>
      </c>
      <c r="L159" s="1" t="s">
        <v>111</v>
      </c>
      <c r="M159" s="1" t="s">
        <v>111</v>
      </c>
      <c r="N159" s="1" t="s">
        <v>2245</v>
      </c>
      <c r="O159" s="1" t="s">
        <v>113</v>
      </c>
      <c r="P159" s="1" t="s">
        <v>106</v>
      </c>
      <c r="Q159" s="1" t="s">
        <v>152</v>
      </c>
      <c r="R159" s="1" t="s">
        <v>564</v>
      </c>
      <c r="S159" s="7" t="s">
        <v>426</v>
      </c>
      <c r="T159" s="1" t="s">
        <v>106</v>
      </c>
      <c r="U159" s="7" t="s">
        <v>2246</v>
      </c>
      <c r="V159" s="1" t="s">
        <v>2247</v>
      </c>
      <c r="W159" s="1" t="s">
        <v>199</v>
      </c>
      <c r="X159" s="1" t="s">
        <v>113</v>
      </c>
      <c r="Y159" s="1" t="s">
        <v>564</v>
      </c>
      <c r="Z159" s="1">
        <v>100</v>
      </c>
      <c r="AA159" s="1" t="s">
        <v>116</v>
      </c>
      <c r="AB159" s="1" t="s">
        <v>128</v>
      </c>
      <c r="AC159" s="1" t="s">
        <v>118</v>
      </c>
      <c r="AD159" s="1">
        <v>5</v>
      </c>
      <c r="AE159" s="1" t="s">
        <v>116</v>
      </c>
      <c r="AF159" s="1" t="s">
        <v>2248</v>
      </c>
      <c r="AG159" s="1" t="s">
        <v>106</v>
      </c>
      <c r="AH159" s="1" t="s">
        <v>2249</v>
      </c>
      <c r="AI159" s="1">
        <v>35</v>
      </c>
      <c r="AJ159" s="5" t="s">
        <v>2250</v>
      </c>
      <c r="AK159" s="1" t="s">
        <v>1515</v>
      </c>
      <c r="AL159" s="1">
        <v>0</v>
      </c>
      <c r="AM159" s="1" t="s">
        <v>2251</v>
      </c>
      <c r="AN159" s="1">
        <v>0</v>
      </c>
      <c r="AO159" s="1" t="s">
        <v>113</v>
      </c>
      <c r="AP159" s="1" t="s">
        <v>113</v>
      </c>
      <c r="AQ159" s="1" t="s">
        <v>564</v>
      </c>
      <c r="AR159" s="1" t="s">
        <v>564</v>
      </c>
      <c r="AS159" s="1" t="s">
        <v>564</v>
      </c>
      <c r="AT159" s="1" t="s">
        <v>1898</v>
      </c>
      <c r="AU159" s="1" t="s">
        <v>106</v>
      </c>
      <c r="AV159" s="1" t="s">
        <v>113</v>
      </c>
      <c r="AW159" s="1" t="s">
        <v>234</v>
      </c>
      <c r="AX159" s="1" t="s">
        <v>946</v>
      </c>
      <c r="AY159" s="1">
        <v>0</v>
      </c>
      <c r="AZ159" s="1" t="s">
        <v>113</v>
      </c>
      <c r="BA159" s="1" t="s">
        <v>113</v>
      </c>
      <c r="BB159" s="1" t="s">
        <v>125</v>
      </c>
      <c r="BC159" s="1" t="s">
        <v>2252</v>
      </c>
      <c r="BD159" s="1">
        <v>0</v>
      </c>
      <c r="BE159" s="1">
        <v>100</v>
      </c>
      <c r="BF159" s="1" t="s">
        <v>630</v>
      </c>
      <c r="BG159" s="1" t="s">
        <v>383</v>
      </c>
      <c r="BH159" s="1" t="s">
        <v>269</v>
      </c>
      <c r="BI159" s="1" t="s">
        <v>269</v>
      </c>
      <c r="BJ159" s="1" t="s">
        <v>208</v>
      </c>
      <c r="BK159" s="1">
        <v>5</v>
      </c>
      <c r="BL159" s="1" t="s">
        <v>167</v>
      </c>
      <c r="BM159" s="1" t="s">
        <v>386</v>
      </c>
      <c r="BN159" s="1">
        <v>10</v>
      </c>
      <c r="BO159" s="1">
        <v>6</v>
      </c>
      <c r="BP159" s="1" t="s">
        <v>124</v>
      </c>
      <c r="BQ159" s="1" t="s">
        <v>2253</v>
      </c>
      <c r="BR159" s="1" t="s">
        <v>2254</v>
      </c>
      <c r="BS159" s="1" t="s">
        <v>2255</v>
      </c>
      <c r="BT159" s="1" t="s">
        <v>172</v>
      </c>
      <c r="BU159" s="1" t="s">
        <v>239</v>
      </c>
      <c r="BV159" s="1" t="s">
        <v>2256</v>
      </c>
      <c r="BW159" s="1" t="s">
        <v>134</v>
      </c>
      <c r="BX159" s="1" t="s">
        <v>2257</v>
      </c>
      <c r="BY159" s="1" t="s">
        <v>135</v>
      </c>
      <c r="BZ159" s="1" t="s">
        <v>2258</v>
      </c>
      <c r="CA159" s="1" t="s">
        <v>2248</v>
      </c>
      <c r="CB159" s="1" t="s">
        <v>176</v>
      </c>
      <c r="CC159" s="1" t="s">
        <v>301</v>
      </c>
      <c r="CD159" s="1" t="s">
        <v>2259</v>
      </c>
      <c r="CE159" s="1" t="s">
        <v>179</v>
      </c>
      <c r="CF159" s="1">
        <v>2539396.31</v>
      </c>
      <c r="CG159" s="1">
        <v>2071820.15</v>
      </c>
      <c r="CH159" s="1">
        <v>43.53</v>
      </c>
      <c r="CI159" s="1">
        <v>0</v>
      </c>
      <c r="CJ159" s="1">
        <v>47.02</v>
      </c>
      <c r="CK159" s="1">
        <v>275.45</v>
      </c>
      <c r="CL159" s="1" t="s">
        <v>2260</v>
      </c>
      <c r="CM159" s="1">
        <v>0</v>
      </c>
      <c r="CN159" s="1">
        <v>0</v>
      </c>
      <c r="CO159" s="1">
        <v>0</v>
      </c>
      <c r="CP159" s="1">
        <v>0</v>
      </c>
      <c r="CQ159" s="1">
        <v>0</v>
      </c>
      <c r="CR159" s="1" t="s">
        <v>139</v>
      </c>
      <c r="CS159" s="1" t="s">
        <v>222</v>
      </c>
      <c r="CT159" s="1" t="s">
        <v>394</v>
      </c>
      <c r="CV159" s="1" t="s">
        <v>310</v>
      </c>
      <c r="CW159" s="1" t="s">
        <v>184</v>
      </c>
      <c r="CX159" s="1" t="s">
        <v>2261</v>
      </c>
      <c r="CY159" s="1" t="s">
        <v>564</v>
      </c>
      <c r="CZ159" s="1" t="s">
        <v>144</v>
      </c>
      <c r="DA159" s="1" t="s">
        <v>145</v>
      </c>
    </row>
    <row r="160" spans="1:105" s="3" customFormat="1" ht="11.25" customHeight="1" x14ac:dyDescent="0.2">
      <c r="A160" s="1">
        <v>41</v>
      </c>
      <c r="B160" s="1" t="s">
        <v>2263</v>
      </c>
      <c r="C160" s="1" t="s">
        <v>2262</v>
      </c>
      <c r="D160" s="1">
        <v>6833</v>
      </c>
      <c r="E160" s="2" t="s">
        <v>4201</v>
      </c>
      <c r="F160" s="1" t="s">
        <v>113</v>
      </c>
      <c r="G160" s="1" t="s">
        <v>2264</v>
      </c>
      <c r="H160" s="1" t="s">
        <v>2265</v>
      </c>
      <c r="I160" s="1" t="s">
        <v>2266</v>
      </c>
      <c r="J160" s="1" t="s">
        <v>113</v>
      </c>
      <c r="K160" s="1" t="s">
        <v>2262</v>
      </c>
      <c r="L160" s="1" t="s">
        <v>111</v>
      </c>
      <c r="M160" s="1" t="s">
        <v>191</v>
      </c>
      <c r="N160" s="1" t="s">
        <v>151</v>
      </c>
      <c r="O160" s="1" t="s">
        <v>113</v>
      </c>
      <c r="P160" s="1" t="s">
        <v>113</v>
      </c>
      <c r="Q160" s="1" t="s">
        <v>195</v>
      </c>
      <c r="R160" s="4">
        <v>942020</v>
      </c>
      <c r="S160" s="1" t="s">
        <v>157</v>
      </c>
      <c r="T160" s="1" t="s">
        <v>113</v>
      </c>
      <c r="U160" s="1" t="s">
        <v>157</v>
      </c>
      <c r="W160" s="1" t="s">
        <v>115</v>
      </c>
      <c r="X160" s="1" t="s">
        <v>113</v>
      </c>
      <c r="Y160" s="1" t="s">
        <v>157</v>
      </c>
      <c r="Z160" s="1">
        <v>100</v>
      </c>
      <c r="AA160" s="1" t="s">
        <v>159</v>
      </c>
      <c r="AB160" s="1" t="s">
        <v>128</v>
      </c>
      <c r="AC160" s="1" t="s">
        <v>118</v>
      </c>
      <c r="AD160" s="1">
        <v>30</v>
      </c>
      <c r="AE160" s="1" t="s">
        <v>159</v>
      </c>
      <c r="AF160" s="1">
        <v>1424</v>
      </c>
      <c r="AG160" s="1" t="s">
        <v>113</v>
      </c>
      <c r="AH160" s="1">
        <v>0</v>
      </c>
      <c r="AI160" s="1">
        <v>0</v>
      </c>
      <c r="AJ160" s="1">
        <v>0</v>
      </c>
      <c r="AK160" s="1" t="s">
        <v>119</v>
      </c>
      <c r="AM160" s="1" t="s">
        <v>2267</v>
      </c>
      <c r="AO160" s="1" t="s">
        <v>113</v>
      </c>
      <c r="AP160" s="1" t="s">
        <v>113</v>
      </c>
      <c r="AQ160" s="1" t="s">
        <v>157</v>
      </c>
      <c r="AR160" s="1" t="s">
        <v>157</v>
      </c>
      <c r="AS160" s="1" t="s">
        <v>157</v>
      </c>
      <c r="AT160" s="1" t="s">
        <v>123</v>
      </c>
      <c r="AU160" s="1" t="s">
        <v>113</v>
      </c>
      <c r="AV160" s="1" t="s">
        <v>113</v>
      </c>
      <c r="AW160" s="1" t="s">
        <v>164</v>
      </c>
      <c r="AY160" s="1">
        <v>0</v>
      </c>
      <c r="AZ160" s="1" t="s">
        <v>113</v>
      </c>
      <c r="BA160" s="1" t="s">
        <v>113</v>
      </c>
      <c r="BB160" s="1" t="s">
        <v>125</v>
      </c>
      <c r="BD160" s="1">
        <v>0</v>
      </c>
      <c r="BE160" s="1">
        <v>100</v>
      </c>
      <c r="BF160" s="1" t="s">
        <v>167</v>
      </c>
      <c r="BG160" s="1" t="s">
        <v>780</v>
      </c>
      <c r="BI160" s="1" t="s">
        <v>569</v>
      </c>
      <c r="BJ160" s="1" t="s">
        <v>208</v>
      </c>
      <c r="BK160" s="1">
        <v>30</v>
      </c>
      <c r="BL160" s="1" t="s">
        <v>167</v>
      </c>
      <c r="BM160" s="1" t="s">
        <v>781</v>
      </c>
      <c r="BN160" s="1" t="s">
        <v>143</v>
      </c>
      <c r="BP160" s="1" t="s">
        <v>124</v>
      </c>
      <c r="BQ160" s="1" t="s">
        <v>2262</v>
      </c>
      <c r="BR160" s="1" t="s">
        <v>2268</v>
      </c>
      <c r="BS160" s="1" t="s">
        <v>2269</v>
      </c>
      <c r="BT160" s="1" t="s">
        <v>172</v>
      </c>
      <c r="BU160" s="1" t="s">
        <v>239</v>
      </c>
      <c r="BV160" s="1" t="s">
        <v>1028</v>
      </c>
      <c r="BW160" s="1" t="s">
        <v>134</v>
      </c>
      <c r="BX160" s="1" t="s">
        <v>2270</v>
      </c>
      <c r="BY160" s="1" t="s">
        <v>135</v>
      </c>
      <c r="BZ160" s="1" t="s">
        <v>1029</v>
      </c>
      <c r="CA160" s="1">
        <v>1424</v>
      </c>
      <c r="CB160" s="1" t="s">
        <v>244</v>
      </c>
      <c r="CC160" s="1" t="s">
        <v>1488</v>
      </c>
      <c r="CF160" s="6">
        <v>106263.17</v>
      </c>
      <c r="CG160" s="1" t="s">
        <v>2271</v>
      </c>
      <c r="CH160" s="1" t="s">
        <v>2271</v>
      </c>
      <c r="CI160" s="1" t="s">
        <v>2271</v>
      </c>
      <c r="CJ160" s="1" t="s">
        <v>2271</v>
      </c>
      <c r="CK160" s="1" t="s">
        <v>2271</v>
      </c>
      <c r="CL160" s="5" t="s">
        <v>1365</v>
      </c>
      <c r="CM160" s="5" t="s">
        <v>126</v>
      </c>
      <c r="CN160" s="5" t="s">
        <v>126</v>
      </c>
      <c r="CO160" s="5" t="s">
        <v>2272</v>
      </c>
      <c r="CP160" s="5" t="s">
        <v>126</v>
      </c>
      <c r="CQ160" s="5" t="s">
        <v>126</v>
      </c>
      <c r="CR160" s="1" t="s">
        <v>139</v>
      </c>
      <c r="CS160" s="1" t="s">
        <v>2273</v>
      </c>
      <c r="CT160" s="1" t="s">
        <v>1263</v>
      </c>
      <c r="CV160" s="1" t="s">
        <v>2274</v>
      </c>
      <c r="CW160" s="1" t="s">
        <v>251</v>
      </c>
      <c r="CX160" s="1" t="s">
        <v>114</v>
      </c>
      <c r="CY160" s="1" t="s">
        <v>114</v>
      </c>
    </row>
    <row r="161" spans="1:105" s="3" customFormat="1" ht="11.25" customHeight="1" x14ac:dyDescent="0.2">
      <c r="A161" s="1">
        <v>41</v>
      </c>
      <c r="B161" s="1" t="s">
        <v>2276</v>
      </c>
      <c r="C161" s="1" t="s">
        <v>2275</v>
      </c>
      <c r="D161" s="1">
        <v>2705</v>
      </c>
      <c r="E161" s="2" t="s">
        <v>4201</v>
      </c>
      <c r="F161" s="1" t="s">
        <v>113</v>
      </c>
      <c r="G161" s="1" t="s">
        <v>190</v>
      </c>
      <c r="H161" s="1" t="s">
        <v>719</v>
      </c>
      <c r="I161" s="1" t="s">
        <v>229</v>
      </c>
      <c r="J161" s="1" t="s">
        <v>113</v>
      </c>
      <c r="K161" s="1" t="s">
        <v>719</v>
      </c>
      <c r="L161" s="1" t="s">
        <v>111</v>
      </c>
      <c r="M161" s="1" t="s">
        <v>695</v>
      </c>
      <c r="N161" s="1" t="s">
        <v>151</v>
      </c>
      <c r="O161" s="1" t="s">
        <v>113</v>
      </c>
      <c r="P161" s="1" t="s">
        <v>113</v>
      </c>
      <c r="Q161" s="1" t="s">
        <v>195</v>
      </c>
      <c r="R161" s="1" t="s">
        <v>2277</v>
      </c>
      <c r="S161" s="1" t="s">
        <v>157</v>
      </c>
      <c r="T161" s="1" t="s">
        <v>106</v>
      </c>
      <c r="U161" s="1" t="s">
        <v>2278</v>
      </c>
      <c r="V161" s="1" t="s">
        <v>1319</v>
      </c>
      <c r="W161" s="1" t="s">
        <v>115</v>
      </c>
      <c r="X161" s="1" t="s">
        <v>113</v>
      </c>
      <c r="Y161" s="1" t="s">
        <v>157</v>
      </c>
      <c r="Z161" s="1">
        <v>100</v>
      </c>
      <c r="AA161" s="1" t="s">
        <v>116</v>
      </c>
      <c r="AB161" s="1" t="s">
        <v>128</v>
      </c>
      <c r="AC161" s="1" t="s">
        <v>128</v>
      </c>
      <c r="AD161" s="1">
        <v>0</v>
      </c>
      <c r="AE161" s="1" t="s">
        <v>695</v>
      </c>
      <c r="AF161" s="1">
        <v>750</v>
      </c>
      <c r="AG161" s="1" t="s">
        <v>113</v>
      </c>
      <c r="AH161" s="1">
        <v>0</v>
      </c>
      <c r="AI161" s="1">
        <v>0</v>
      </c>
      <c r="AJ161" s="1">
        <v>0</v>
      </c>
      <c r="AK161" s="1" t="s">
        <v>449</v>
      </c>
      <c r="AL161" s="1">
        <v>300</v>
      </c>
      <c r="AM161" s="1" t="s">
        <v>2279</v>
      </c>
      <c r="AN161" s="1">
        <v>0</v>
      </c>
      <c r="AO161" s="1" t="s">
        <v>113</v>
      </c>
      <c r="AP161" s="1" t="s">
        <v>106</v>
      </c>
      <c r="AQ161" s="1" t="s">
        <v>157</v>
      </c>
      <c r="AR161" s="1" t="s">
        <v>2280</v>
      </c>
      <c r="AS161" s="1" t="s">
        <v>2281</v>
      </c>
      <c r="AT161" s="1" t="s">
        <v>204</v>
      </c>
      <c r="AU161" s="1" t="s">
        <v>106</v>
      </c>
      <c r="AV161" s="1" t="s">
        <v>113</v>
      </c>
      <c r="AW161" s="1" t="s">
        <v>234</v>
      </c>
      <c r="AX161" s="1" t="s">
        <v>550</v>
      </c>
      <c r="AY161" s="1">
        <v>250</v>
      </c>
      <c r="AZ161" s="1" t="s">
        <v>113</v>
      </c>
      <c r="BA161" s="1" t="s">
        <v>113</v>
      </c>
      <c r="BB161" s="1" t="s">
        <v>125</v>
      </c>
      <c r="BC161" s="1" t="s">
        <v>166</v>
      </c>
      <c r="BD161" s="1">
        <v>0</v>
      </c>
      <c r="BE161" s="1">
        <v>100</v>
      </c>
      <c r="BF161" s="1" t="s">
        <v>167</v>
      </c>
      <c r="BG161" s="1" t="s">
        <v>116</v>
      </c>
      <c r="BH161" s="1" t="s">
        <v>168</v>
      </c>
      <c r="BI161" s="1" t="s">
        <v>569</v>
      </c>
      <c r="BJ161" s="1" t="s">
        <v>128</v>
      </c>
      <c r="BK161" s="1">
        <v>0</v>
      </c>
      <c r="BL161" s="1" t="s">
        <v>127</v>
      </c>
      <c r="BM161" s="1" t="s">
        <v>114</v>
      </c>
      <c r="BN161" s="1">
        <v>3</v>
      </c>
      <c r="BO161" s="1">
        <v>0</v>
      </c>
      <c r="BP161" s="1" t="s">
        <v>115</v>
      </c>
      <c r="BQ161" s="1" t="s">
        <v>2282</v>
      </c>
      <c r="BR161" s="1" t="s">
        <v>1021</v>
      </c>
      <c r="BS161" s="1" t="s">
        <v>2283</v>
      </c>
      <c r="BT161" s="1" t="s">
        <v>172</v>
      </c>
      <c r="BU161" s="1" t="s">
        <v>132</v>
      </c>
      <c r="BV161" s="1" t="s">
        <v>2284</v>
      </c>
      <c r="BW161" s="1" t="s">
        <v>134</v>
      </c>
      <c r="BX161" s="1" t="s">
        <v>157</v>
      </c>
      <c r="BY161" s="1" t="s">
        <v>135</v>
      </c>
      <c r="BZ161" s="1" t="s">
        <v>1021</v>
      </c>
      <c r="CA161" s="1">
        <v>750</v>
      </c>
      <c r="CB161" s="1" t="s">
        <v>244</v>
      </c>
      <c r="CC161" s="1" t="s">
        <v>217</v>
      </c>
      <c r="CE161" s="1" t="s">
        <v>179</v>
      </c>
      <c r="CF161" s="1">
        <v>49657</v>
      </c>
      <c r="CG161" s="1">
        <v>1100000</v>
      </c>
      <c r="CH161" s="1">
        <v>1294</v>
      </c>
      <c r="CI161" s="1">
        <v>50000</v>
      </c>
      <c r="CJ161" s="1">
        <v>230000</v>
      </c>
      <c r="CK161" s="1">
        <v>200000</v>
      </c>
      <c r="CL161" s="1">
        <v>40000</v>
      </c>
      <c r="CM161" s="1">
        <v>20000</v>
      </c>
      <c r="CN161" s="1">
        <v>150000</v>
      </c>
      <c r="CO161" s="1">
        <v>50000</v>
      </c>
      <c r="CP161" s="1">
        <v>0</v>
      </c>
      <c r="CQ161" s="1">
        <v>0</v>
      </c>
      <c r="CR161" s="1" t="s">
        <v>139</v>
      </c>
      <c r="CS161" s="1" t="s">
        <v>140</v>
      </c>
      <c r="CT161" s="1" t="s">
        <v>282</v>
      </c>
      <c r="CV161" s="1" t="s">
        <v>500</v>
      </c>
      <c r="CW161" s="1" t="s">
        <v>141</v>
      </c>
      <c r="CX161" s="1" t="s">
        <v>2285</v>
      </c>
      <c r="CY161" s="1" t="s">
        <v>276</v>
      </c>
      <c r="CZ161" s="1" t="s">
        <v>144</v>
      </c>
      <c r="DA161" s="1" t="s">
        <v>145</v>
      </c>
    </row>
    <row r="162" spans="1:105" s="3" customFormat="1" ht="11.25" customHeight="1" x14ac:dyDescent="0.2">
      <c r="A162" s="1">
        <v>41</v>
      </c>
      <c r="B162" s="1" t="s">
        <v>2286</v>
      </c>
      <c r="C162" s="1" t="s">
        <v>1942</v>
      </c>
      <c r="D162" s="1">
        <v>5576</v>
      </c>
      <c r="E162" s="2" t="s">
        <v>4201</v>
      </c>
      <c r="F162" s="1" t="s">
        <v>106</v>
      </c>
      <c r="G162" s="1" t="s">
        <v>1664</v>
      </c>
      <c r="H162" s="1" t="s">
        <v>1942</v>
      </c>
      <c r="I162" s="1" t="s">
        <v>2158</v>
      </c>
      <c r="J162" s="1" t="s">
        <v>106</v>
      </c>
      <c r="K162" s="1" t="s">
        <v>1942</v>
      </c>
      <c r="L162" s="1" t="s">
        <v>111</v>
      </c>
      <c r="M162" s="1" t="s">
        <v>192</v>
      </c>
      <c r="N162" s="1" t="s">
        <v>2226</v>
      </c>
      <c r="O162" s="1" t="s">
        <v>113</v>
      </c>
      <c r="P162" s="1" t="s">
        <v>113</v>
      </c>
      <c r="Q162" s="1" t="s">
        <v>195</v>
      </c>
      <c r="R162" s="1" t="s">
        <v>2287</v>
      </c>
      <c r="S162" s="1" t="s">
        <v>157</v>
      </c>
      <c r="T162" s="1" t="s">
        <v>106</v>
      </c>
      <c r="U162" s="1" t="s">
        <v>2288</v>
      </c>
      <c r="V162" s="1" t="s">
        <v>2289</v>
      </c>
      <c r="W162" s="1" t="s">
        <v>115</v>
      </c>
      <c r="X162" s="1" t="s">
        <v>113</v>
      </c>
      <c r="Y162" s="1" t="s">
        <v>157</v>
      </c>
      <c r="Z162" s="1">
        <v>100</v>
      </c>
      <c r="AA162" s="1" t="s">
        <v>116</v>
      </c>
      <c r="AB162" s="1" t="s">
        <v>128</v>
      </c>
      <c r="AC162" s="1" t="s">
        <v>384</v>
      </c>
      <c r="AD162" s="1">
        <v>100</v>
      </c>
      <c r="AE162" s="1" t="s">
        <v>116</v>
      </c>
      <c r="AF162" s="1">
        <v>694</v>
      </c>
      <c r="AG162" s="1" t="s">
        <v>106</v>
      </c>
      <c r="AH162" s="1" t="s">
        <v>2290</v>
      </c>
      <c r="AI162" s="1" t="s">
        <v>2291</v>
      </c>
      <c r="AJ162" s="5" t="s">
        <v>2292</v>
      </c>
      <c r="AK162" s="1" t="s">
        <v>626</v>
      </c>
      <c r="AL162" s="1">
        <v>60</v>
      </c>
      <c r="AM162" s="1" t="s">
        <v>363</v>
      </c>
      <c r="AN162" s="1">
        <v>0</v>
      </c>
      <c r="AO162" s="1" t="s">
        <v>113</v>
      </c>
      <c r="AP162" s="1" t="s">
        <v>113</v>
      </c>
      <c r="AQ162" s="1" t="s">
        <v>157</v>
      </c>
      <c r="AR162" s="1" t="s">
        <v>157</v>
      </c>
      <c r="AS162" s="1" t="s">
        <v>157</v>
      </c>
      <c r="AT162" s="1" t="s">
        <v>123</v>
      </c>
      <c r="AU162" s="1" t="s">
        <v>113</v>
      </c>
      <c r="AV162" s="1" t="s">
        <v>113</v>
      </c>
      <c r="AW162" s="1" t="s">
        <v>2293</v>
      </c>
      <c r="AX162" s="1" t="s">
        <v>165</v>
      </c>
      <c r="AY162" s="1">
        <v>15</v>
      </c>
      <c r="AZ162" s="1" t="s">
        <v>113</v>
      </c>
      <c r="BA162" s="1" t="s">
        <v>113</v>
      </c>
      <c r="BB162" s="1" t="s">
        <v>125</v>
      </c>
      <c r="BC162" s="1" t="s">
        <v>166</v>
      </c>
      <c r="BD162" s="1">
        <v>0</v>
      </c>
      <c r="BE162" s="1">
        <v>100</v>
      </c>
      <c r="BF162" s="1" t="s">
        <v>167</v>
      </c>
      <c r="BG162" s="1" t="s">
        <v>132</v>
      </c>
      <c r="BH162" s="1" t="s">
        <v>1605</v>
      </c>
      <c r="BI162" s="1" t="s">
        <v>1605</v>
      </c>
      <c r="BJ162" s="1" t="s">
        <v>384</v>
      </c>
      <c r="BK162" s="1">
        <v>100</v>
      </c>
      <c r="BL162" s="1" t="s">
        <v>270</v>
      </c>
      <c r="BM162" s="1" t="s">
        <v>210</v>
      </c>
      <c r="BN162" s="1" t="s">
        <v>276</v>
      </c>
      <c r="BO162" s="1" t="s">
        <v>276</v>
      </c>
      <c r="BP162" s="1" t="s">
        <v>124</v>
      </c>
      <c r="BQ162" s="1" t="s">
        <v>1942</v>
      </c>
      <c r="BR162" s="1" t="s">
        <v>2294</v>
      </c>
      <c r="BS162" s="1" t="s">
        <v>2295</v>
      </c>
      <c r="BT162" s="1" t="s">
        <v>172</v>
      </c>
      <c r="BU162" s="1" t="s">
        <v>173</v>
      </c>
      <c r="BV162" s="1" t="s">
        <v>2296</v>
      </c>
      <c r="BW162" s="1" t="s">
        <v>134</v>
      </c>
      <c r="BX162" s="1" t="s">
        <v>2271</v>
      </c>
      <c r="BY162" s="1" t="s">
        <v>135</v>
      </c>
      <c r="BZ162" s="1" t="s">
        <v>2297</v>
      </c>
      <c r="CA162" s="1">
        <v>694</v>
      </c>
      <c r="CB162" s="1" t="s">
        <v>176</v>
      </c>
      <c r="CC162" s="1" t="s">
        <v>277</v>
      </c>
      <c r="CD162" s="1" t="s">
        <v>2298</v>
      </c>
      <c r="CE162" s="1" t="s">
        <v>219</v>
      </c>
      <c r="CF162" s="1">
        <v>205000</v>
      </c>
      <c r="CG162" s="1">
        <v>140000</v>
      </c>
      <c r="CH162" s="1">
        <v>131</v>
      </c>
      <c r="CI162" s="1">
        <v>0</v>
      </c>
      <c r="CJ162" s="1">
        <v>53</v>
      </c>
      <c r="CK162" s="1" t="s">
        <v>2299</v>
      </c>
      <c r="CL162" s="1">
        <v>0</v>
      </c>
      <c r="CM162" s="1">
        <v>0</v>
      </c>
      <c r="CN162" s="1">
        <v>30</v>
      </c>
      <c r="CO162" s="1">
        <v>0</v>
      </c>
      <c r="CP162" s="1">
        <v>0</v>
      </c>
      <c r="CQ162" s="1">
        <v>0</v>
      </c>
      <c r="CR162" s="1" t="s">
        <v>139</v>
      </c>
      <c r="CS162" s="1" t="s">
        <v>308</v>
      </c>
      <c r="CT162" s="1" t="s">
        <v>2300</v>
      </c>
      <c r="CU162" s="1" t="s">
        <v>2301</v>
      </c>
      <c r="CV162" s="1" t="s">
        <v>589</v>
      </c>
      <c r="CW162" s="1" t="s">
        <v>2014</v>
      </c>
      <c r="CX162" s="1" t="s">
        <v>2302</v>
      </c>
      <c r="CY162" s="1" t="s">
        <v>276</v>
      </c>
      <c r="CZ162" s="1" t="s">
        <v>144</v>
      </c>
      <c r="DA162" s="1" t="s">
        <v>145</v>
      </c>
    </row>
    <row r="163" spans="1:105" s="3" customFormat="1" ht="11.25" customHeight="1" x14ac:dyDescent="0.2">
      <c r="A163" s="1">
        <v>41</v>
      </c>
      <c r="B163" s="1" t="s">
        <v>2304</v>
      </c>
      <c r="C163" s="1" t="s">
        <v>2303</v>
      </c>
      <c r="D163" s="1">
        <v>41400</v>
      </c>
      <c r="E163" s="2" t="s">
        <v>4201</v>
      </c>
      <c r="F163" s="1" t="s">
        <v>113</v>
      </c>
      <c r="H163" s="1" t="s">
        <v>2305</v>
      </c>
      <c r="I163" s="1" t="s">
        <v>229</v>
      </c>
      <c r="J163" s="1" t="s">
        <v>229</v>
      </c>
      <c r="L163" s="1" t="s">
        <v>149</v>
      </c>
      <c r="M163" s="1" t="s">
        <v>2306</v>
      </c>
      <c r="N163" s="1" t="s">
        <v>484</v>
      </c>
      <c r="O163" s="1" t="s">
        <v>106</v>
      </c>
      <c r="P163" s="1" t="s">
        <v>113</v>
      </c>
      <c r="Q163" s="1" t="s">
        <v>195</v>
      </c>
      <c r="R163" s="1" t="s">
        <v>2307</v>
      </c>
      <c r="S163" s="1" t="s">
        <v>114</v>
      </c>
      <c r="T163" s="1" t="s">
        <v>113</v>
      </c>
      <c r="U163" s="1" t="s">
        <v>290</v>
      </c>
      <c r="W163" s="1" t="s">
        <v>755</v>
      </c>
      <c r="Z163" s="1">
        <v>100</v>
      </c>
      <c r="AA163" s="1" t="s">
        <v>132</v>
      </c>
      <c r="AB163" s="1" t="s">
        <v>117</v>
      </c>
      <c r="AC163" s="1" t="s">
        <v>118</v>
      </c>
      <c r="AD163" s="1">
        <v>5</v>
      </c>
      <c r="AE163" s="1" t="s">
        <v>132</v>
      </c>
      <c r="AF163" s="1">
        <v>10038</v>
      </c>
      <c r="AG163" s="1" t="s">
        <v>113</v>
      </c>
      <c r="AH163" s="1">
        <v>0</v>
      </c>
      <c r="AI163" s="1">
        <v>0</v>
      </c>
      <c r="AJ163" s="1">
        <v>0</v>
      </c>
      <c r="AK163" s="1" t="s">
        <v>626</v>
      </c>
      <c r="AM163" s="1" t="s">
        <v>172</v>
      </c>
      <c r="AP163" s="1" t="s">
        <v>113</v>
      </c>
      <c r="AQ163" s="1" t="s">
        <v>114</v>
      </c>
      <c r="AR163" s="1" t="s">
        <v>290</v>
      </c>
      <c r="AS163" s="1" t="s">
        <v>114</v>
      </c>
      <c r="AT163" s="1" t="s">
        <v>123</v>
      </c>
      <c r="AU163" s="1" t="s">
        <v>113</v>
      </c>
      <c r="AV163" s="1" t="s">
        <v>113</v>
      </c>
      <c r="AW163" s="1" t="s">
        <v>124</v>
      </c>
      <c r="AY163" s="1">
        <v>0</v>
      </c>
      <c r="AZ163" s="1" t="s">
        <v>113</v>
      </c>
      <c r="BA163" s="1" t="s">
        <v>113</v>
      </c>
      <c r="BB163" s="1" t="s">
        <v>125</v>
      </c>
      <c r="BD163" s="1">
        <v>0</v>
      </c>
      <c r="BE163" s="1">
        <v>100</v>
      </c>
      <c r="BF163" s="1" t="s">
        <v>167</v>
      </c>
      <c r="BG163" s="1" t="s">
        <v>268</v>
      </c>
      <c r="BJ163" s="1" t="s">
        <v>128</v>
      </c>
      <c r="BK163" s="1">
        <v>0</v>
      </c>
      <c r="BL163" s="1" t="s">
        <v>127</v>
      </c>
      <c r="BN163" s="1" t="s">
        <v>143</v>
      </c>
      <c r="BP163" s="1" t="s">
        <v>124</v>
      </c>
      <c r="BQ163" s="1" t="s">
        <v>124</v>
      </c>
      <c r="BR163" s="1" t="s">
        <v>2308</v>
      </c>
      <c r="BS163" s="1" t="s">
        <v>2309</v>
      </c>
      <c r="BT163" s="1" t="s">
        <v>172</v>
      </c>
      <c r="BU163" s="1" t="s">
        <v>132</v>
      </c>
      <c r="BV163" s="1" t="s">
        <v>1283</v>
      </c>
      <c r="BW163" s="1" t="s">
        <v>134</v>
      </c>
      <c r="BX163" s="1" t="s">
        <v>114</v>
      </c>
      <c r="BY163" s="1" t="s">
        <v>135</v>
      </c>
      <c r="BZ163" s="1" t="s">
        <v>2310</v>
      </c>
      <c r="CA163" s="1">
        <v>10038</v>
      </c>
      <c r="CB163" s="1" t="s">
        <v>176</v>
      </c>
      <c r="CC163" s="1" t="s">
        <v>301</v>
      </c>
      <c r="CF163" s="1">
        <v>0</v>
      </c>
      <c r="CG163" s="1">
        <v>0</v>
      </c>
      <c r="CH163" s="1">
        <v>0</v>
      </c>
      <c r="CI163" s="1">
        <v>0</v>
      </c>
      <c r="CJ163" s="1">
        <v>0</v>
      </c>
      <c r="CK163" s="1">
        <v>4000</v>
      </c>
      <c r="CL163" s="1">
        <v>0</v>
      </c>
      <c r="CM163" s="1">
        <v>0</v>
      </c>
      <c r="CN163" s="1">
        <v>0</v>
      </c>
      <c r="CO163" s="1">
        <v>0</v>
      </c>
      <c r="CP163" s="1">
        <v>0</v>
      </c>
      <c r="CQ163" s="1">
        <v>0</v>
      </c>
      <c r="CR163" s="1" t="s">
        <v>139</v>
      </c>
      <c r="CS163" s="1" t="s">
        <v>140</v>
      </c>
      <c r="CT163" s="1" t="s">
        <v>2311</v>
      </c>
      <c r="CW163" s="1" t="s">
        <v>141</v>
      </c>
      <c r="CX163" s="1" t="s">
        <v>2312</v>
      </c>
      <c r="CY163" s="1" t="s">
        <v>851</v>
      </c>
      <c r="CZ163" s="1" t="s">
        <v>144</v>
      </c>
    </row>
    <row r="164" spans="1:105" s="3" customFormat="1" ht="11.25" customHeight="1" x14ac:dyDescent="0.2">
      <c r="A164" s="1">
        <v>41</v>
      </c>
      <c r="B164" s="1" t="s">
        <v>2314</v>
      </c>
      <c r="C164" s="1" t="s">
        <v>2313</v>
      </c>
      <c r="D164" s="1">
        <v>15719</v>
      </c>
      <c r="E164" s="2" t="s">
        <v>4201</v>
      </c>
      <c r="F164" s="1" t="s">
        <v>113</v>
      </c>
      <c r="G164" s="1" t="s">
        <v>190</v>
      </c>
      <c r="H164" s="1">
        <v>0</v>
      </c>
      <c r="I164" s="1" t="s">
        <v>229</v>
      </c>
      <c r="J164" s="1" t="s">
        <v>229</v>
      </c>
      <c r="K164" s="1">
        <v>0</v>
      </c>
      <c r="L164" s="1" t="s">
        <v>149</v>
      </c>
      <c r="M164" s="1" t="s">
        <v>2315</v>
      </c>
      <c r="N164" s="1" t="s">
        <v>112</v>
      </c>
      <c r="O164" s="1" t="s">
        <v>113</v>
      </c>
      <c r="P164" s="1" t="s">
        <v>113</v>
      </c>
      <c r="Q164" s="1" t="s">
        <v>195</v>
      </c>
      <c r="R164" s="1" t="s">
        <v>2316</v>
      </c>
      <c r="S164" s="1" t="s">
        <v>1021</v>
      </c>
      <c r="T164" s="1" t="s">
        <v>106</v>
      </c>
      <c r="U164" s="1" t="s">
        <v>2317</v>
      </c>
      <c r="V164" s="1" t="s">
        <v>2212</v>
      </c>
      <c r="W164" s="1" t="s">
        <v>115</v>
      </c>
      <c r="X164" s="1" t="s">
        <v>113</v>
      </c>
      <c r="Y164" s="1" t="s">
        <v>1021</v>
      </c>
      <c r="Z164" s="1">
        <v>100</v>
      </c>
      <c r="AA164" s="1" t="s">
        <v>116</v>
      </c>
      <c r="AB164" s="1" t="s">
        <v>128</v>
      </c>
      <c r="AC164" s="1" t="s">
        <v>128</v>
      </c>
      <c r="AD164" s="1">
        <v>0</v>
      </c>
      <c r="AE164" s="1">
        <v>0</v>
      </c>
      <c r="AF164" s="1">
        <v>2589</v>
      </c>
      <c r="AG164" s="1" t="s">
        <v>106</v>
      </c>
      <c r="AH164" s="1">
        <v>60</v>
      </c>
      <c r="AI164" s="1">
        <v>20</v>
      </c>
      <c r="AJ164" s="1">
        <v>20</v>
      </c>
      <c r="AK164" s="1" t="s">
        <v>232</v>
      </c>
      <c r="AL164" s="1">
        <v>6000</v>
      </c>
      <c r="AM164" s="1" t="s">
        <v>363</v>
      </c>
      <c r="AN164" s="1">
        <v>0</v>
      </c>
      <c r="AO164" s="1" t="s">
        <v>113</v>
      </c>
      <c r="AP164" s="1" t="s">
        <v>106</v>
      </c>
      <c r="AQ164" s="1" t="s">
        <v>2318</v>
      </c>
      <c r="AR164" s="1" t="s">
        <v>2319</v>
      </c>
      <c r="AS164" s="1" t="s">
        <v>2320</v>
      </c>
      <c r="AT164" s="1" t="s">
        <v>123</v>
      </c>
      <c r="AU164" s="1" t="s">
        <v>113</v>
      </c>
      <c r="AV164" s="1" t="s">
        <v>113</v>
      </c>
      <c r="AW164" s="1" t="s">
        <v>164</v>
      </c>
      <c r="AX164" s="1" t="s">
        <v>165</v>
      </c>
      <c r="AY164" s="1">
        <v>0</v>
      </c>
      <c r="AZ164" s="1" t="s">
        <v>113</v>
      </c>
      <c r="BA164" s="1" t="s">
        <v>113</v>
      </c>
      <c r="BB164" s="1" t="s">
        <v>125</v>
      </c>
      <c r="BC164" s="1" t="s">
        <v>166</v>
      </c>
      <c r="BD164" s="1">
        <v>0</v>
      </c>
      <c r="BE164" s="1">
        <v>100</v>
      </c>
      <c r="BF164" s="1" t="s">
        <v>167</v>
      </c>
      <c r="BG164" s="1" t="s">
        <v>116</v>
      </c>
      <c r="BH164" s="1" t="s">
        <v>168</v>
      </c>
      <c r="BI164" s="1" t="s">
        <v>207</v>
      </c>
      <c r="BJ164" s="1" t="s">
        <v>128</v>
      </c>
      <c r="BK164" s="1">
        <v>0</v>
      </c>
      <c r="BL164" s="1" t="s">
        <v>127</v>
      </c>
      <c r="BM164" s="1" t="s">
        <v>114</v>
      </c>
      <c r="BN164" s="1">
        <v>5</v>
      </c>
      <c r="BO164" s="1">
        <v>7</v>
      </c>
      <c r="BP164" s="1" t="s">
        <v>115</v>
      </c>
      <c r="BQ164" s="1" t="s">
        <v>2321</v>
      </c>
      <c r="BR164" s="1" t="s">
        <v>2322</v>
      </c>
      <c r="BS164" s="1" t="s">
        <v>971</v>
      </c>
      <c r="BT164" s="1" t="s">
        <v>172</v>
      </c>
      <c r="BU164" s="1" t="s">
        <v>132</v>
      </c>
      <c r="BV164" s="1" t="s">
        <v>594</v>
      </c>
      <c r="BW164" s="1" t="s">
        <v>134</v>
      </c>
      <c r="BX164" s="1" t="s">
        <v>2323</v>
      </c>
      <c r="BY164" s="1" t="s">
        <v>135</v>
      </c>
      <c r="BZ164" s="1" t="s">
        <v>2324</v>
      </c>
      <c r="CA164" s="1">
        <v>2589</v>
      </c>
      <c r="CB164" s="1" t="s">
        <v>244</v>
      </c>
      <c r="CC164" s="1" t="s">
        <v>1488</v>
      </c>
      <c r="CD164" s="1" t="s">
        <v>2325</v>
      </c>
      <c r="CE164" s="1" t="s">
        <v>2326</v>
      </c>
      <c r="CF164" s="1" t="s">
        <v>2327</v>
      </c>
      <c r="CG164" s="1" t="s">
        <v>2328</v>
      </c>
      <c r="CH164" s="1" t="s">
        <v>2328</v>
      </c>
      <c r="CI164" s="1" t="s">
        <v>2328</v>
      </c>
      <c r="CJ164" s="1" t="s">
        <v>2329</v>
      </c>
      <c r="CK164" s="1" t="s">
        <v>2328</v>
      </c>
      <c r="CL164" s="1">
        <v>0</v>
      </c>
      <c r="CM164" s="1">
        <v>0</v>
      </c>
      <c r="CN164" s="1">
        <v>0</v>
      </c>
      <c r="CO164" s="1">
        <v>0</v>
      </c>
      <c r="CP164" s="1">
        <v>0</v>
      </c>
      <c r="CQ164" s="1">
        <v>0</v>
      </c>
      <c r="CR164" s="1" t="s">
        <v>139</v>
      </c>
      <c r="CS164" s="1" t="s">
        <v>308</v>
      </c>
      <c r="CT164" s="1" t="s">
        <v>2330</v>
      </c>
      <c r="CV164" s="1" t="s">
        <v>2331</v>
      </c>
      <c r="CW164" s="1" t="s">
        <v>420</v>
      </c>
      <c r="CX164" s="1" t="s">
        <v>2332</v>
      </c>
      <c r="CY164" s="1" t="s">
        <v>2333</v>
      </c>
      <c r="CZ164" s="1" t="s">
        <v>144</v>
      </c>
      <c r="DA164" s="1" t="s">
        <v>145</v>
      </c>
    </row>
    <row r="165" spans="1:105" s="3" customFormat="1" ht="11.25" customHeight="1" x14ac:dyDescent="0.2">
      <c r="A165" s="1">
        <v>41</v>
      </c>
      <c r="B165" s="1" t="s">
        <v>2334</v>
      </c>
      <c r="C165" s="1" t="s">
        <v>2335</v>
      </c>
      <c r="D165" s="1">
        <v>7271</v>
      </c>
      <c r="E165" s="2" t="s">
        <v>1688</v>
      </c>
      <c r="F165" s="1"/>
      <c r="G165" s="1"/>
      <c r="H165" s="1"/>
      <c r="I165" s="1"/>
      <c r="J165" s="1"/>
      <c r="K165" s="1"/>
      <c r="L165" s="1"/>
      <c r="M165" s="1"/>
      <c r="N165" s="1"/>
      <c r="O165" s="1"/>
      <c r="P165" s="1"/>
      <c r="Q165" s="1"/>
      <c r="R165" s="1"/>
      <c r="S165" s="1"/>
      <c r="T165" s="1"/>
      <c r="U165" s="1"/>
      <c r="W165" s="1"/>
      <c r="X165" s="1"/>
      <c r="Y165" s="1"/>
      <c r="Z165" s="1"/>
      <c r="AA165" s="1"/>
      <c r="AB165" s="1"/>
      <c r="AC165" s="1"/>
      <c r="AD165" s="1"/>
      <c r="AE165" s="1"/>
      <c r="AF165" s="4"/>
      <c r="AG165" s="1"/>
      <c r="AH165" s="1"/>
      <c r="AI165" s="1"/>
      <c r="AJ165" s="1"/>
      <c r="AK165" s="1"/>
      <c r="AL165" s="1"/>
      <c r="AM165" s="1"/>
      <c r="AN165" s="1"/>
      <c r="AO165" s="1"/>
      <c r="AP165" s="1"/>
      <c r="AQ165" s="1"/>
      <c r="AR165" s="1"/>
      <c r="AS165" s="1"/>
      <c r="AT165" s="1"/>
      <c r="AU165" s="1"/>
      <c r="AV165" s="1"/>
      <c r="AW165" s="1"/>
      <c r="AY165" s="1"/>
      <c r="AZ165" s="1"/>
      <c r="BA165" s="1"/>
      <c r="BB165" s="1"/>
      <c r="BD165" s="5"/>
      <c r="BE165" s="1"/>
      <c r="BF165" s="1"/>
      <c r="BG165" s="1"/>
      <c r="BJ165" s="1"/>
      <c r="BK165" s="1"/>
      <c r="BL165" s="1"/>
      <c r="BM165" s="1"/>
      <c r="BN165" s="1"/>
      <c r="BO165" s="1"/>
      <c r="BP165" s="1"/>
      <c r="BQ165" s="1"/>
      <c r="BR165" s="1"/>
      <c r="BS165" s="1"/>
      <c r="BT165" s="1"/>
      <c r="BU165" s="1"/>
      <c r="BV165" s="1"/>
      <c r="BW165" s="1"/>
      <c r="BX165" s="1"/>
      <c r="BY165" s="1"/>
      <c r="BZ165" s="1"/>
      <c r="CA165" s="1"/>
      <c r="CB165" s="1"/>
      <c r="CC165" s="1"/>
      <c r="CF165" s="1"/>
      <c r="CG165" s="1"/>
      <c r="CH165" s="4"/>
      <c r="CI165" s="4"/>
      <c r="CJ165" s="4"/>
      <c r="CK165" s="1"/>
      <c r="CL165" s="1"/>
      <c r="CM165" s="1"/>
      <c r="CN165" s="1"/>
      <c r="CO165" s="1"/>
      <c r="CP165" s="1"/>
      <c r="CQ165" s="1"/>
      <c r="CR165" s="1"/>
      <c r="CS165" s="1"/>
      <c r="CT165" s="1"/>
      <c r="CW165" s="1"/>
      <c r="CX165" s="1"/>
      <c r="CY165" s="1"/>
      <c r="CZ165" s="1"/>
      <c r="DA165" s="1"/>
    </row>
    <row r="166" spans="1:105" s="3" customFormat="1" ht="11.25" customHeight="1" x14ac:dyDescent="0.2">
      <c r="A166" s="1">
        <v>41</v>
      </c>
      <c r="B166" s="1" t="s">
        <v>2337</v>
      </c>
      <c r="C166" s="1" t="s">
        <v>2336</v>
      </c>
      <c r="D166" s="1">
        <v>36231</v>
      </c>
      <c r="E166" s="2" t="s">
        <v>4201</v>
      </c>
      <c r="F166" s="1" t="s">
        <v>113</v>
      </c>
      <c r="G166" s="1" t="s">
        <v>190</v>
      </c>
      <c r="H166" s="1" t="s">
        <v>856</v>
      </c>
      <c r="I166" s="1" t="s">
        <v>229</v>
      </c>
      <c r="J166" s="1" t="s">
        <v>229</v>
      </c>
      <c r="L166" s="1" t="s">
        <v>149</v>
      </c>
      <c r="M166" s="1" t="s">
        <v>2338</v>
      </c>
      <c r="N166" s="1" t="s">
        <v>2339</v>
      </c>
      <c r="O166" s="1" t="s">
        <v>106</v>
      </c>
      <c r="P166" s="1" t="s">
        <v>106</v>
      </c>
      <c r="Q166" s="1" t="s">
        <v>1298</v>
      </c>
      <c r="R166" s="1" t="s">
        <v>114</v>
      </c>
      <c r="S166" s="1" t="s">
        <v>564</v>
      </c>
      <c r="T166" s="1" t="s">
        <v>106</v>
      </c>
      <c r="U166" s="1" t="s">
        <v>2338</v>
      </c>
      <c r="V166" s="1" t="s">
        <v>2340</v>
      </c>
      <c r="W166" s="1" t="s">
        <v>115</v>
      </c>
      <c r="X166" s="1" t="s">
        <v>106</v>
      </c>
      <c r="Y166" s="1" t="s">
        <v>114</v>
      </c>
      <c r="Z166" s="1">
        <v>100</v>
      </c>
      <c r="AA166" s="1" t="s">
        <v>132</v>
      </c>
      <c r="AB166" s="1" t="s">
        <v>117</v>
      </c>
      <c r="AC166" s="1" t="s">
        <v>118</v>
      </c>
      <c r="AD166" s="1">
        <v>50</v>
      </c>
      <c r="AE166" s="1" t="s">
        <v>132</v>
      </c>
      <c r="AF166" s="1">
        <v>4800</v>
      </c>
      <c r="AG166" s="1" t="s">
        <v>113</v>
      </c>
      <c r="AH166" s="1">
        <v>0</v>
      </c>
      <c r="AI166" s="1">
        <v>0</v>
      </c>
      <c r="AJ166" s="1">
        <v>0</v>
      </c>
      <c r="AK166" s="1" t="s">
        <v>119</v>
      </c>
      <c r="AL166" s="1">
        <v>0</v>
      </c>
      <c r="AM166" s="1" t="s">
        <v>191</v>
      </c>
      <c r="AN166" s="1">
        <v>0</v>
      </c>
      <c r="AO166" s="1" t="s">
        <v>113</v>
      </c>
      <c r="AP166" s="1" t="s">
        <v>106</v>
      </c>
      <c r="AQ166" s="1" t="s">
        <v>157</v>
      </c>
      <c r="AR166" s="1" t="s">
        <v>124</v>
      </c>
      <c r="AS166" s="1" t="s">
        <v>2341</v>
      </c>
      <c r="AT166" s="1" t="s">
        <v>650</v>
      </c>
      <c r="AU166" s="1" t="s">
        <v>106</v>
      </c>
      <c r="AV166" s="1" t="s">
        <v>113</v>
      </c>
      <c r="AW166" s="1" t="s">
        <v>629</v>
      </c>
      <c r="AY166" s="1">
        <v>0</v>
      </c>
      <c r="AZ166" s="1" t="s">
        <v>113</v>
      </c>
      <c r="BA166" s="1" t="s">
        <v>113</v>
      </c>
      <c r="BB166" s="1" t="s">
        <v>125</v>
      </c>
      <c r="BC166" s="1" t="s">
        <v>166</v>
      </c>
      <c r="BD166" s="1">
        <v>0</v>
      </c>
      <c r="BE166" s="1">
        <v>100</v>
      </c>
      <c r="BF166" s="1" t="s">
        <v>1206</v>
      </c>
      <c r="BG166" s="1" t="s">
        <v>383</v>
      </c>
      <c r="BH166" s="1" t="s">
        <v>169</v>
      </c>
      <c r="BI166" s="1" t="s">
        <v>169</v>
      </c>
      <c r="BJ166" s="1" t="s">
        <v>208</v>
      </c>
      <c r="BK166" s="1">
        <v>50</v>
      </c>
      <c r="BL166" s="1" t="s">
        <v>533</v>
      </c>
      <c r="BM166" s="1" t="s">
        <v>472</v>
      </c>
      <c r="BN166" s="1">
        <v>0</v>
      </c>
      <c r="BO166" s="1">
        <v>0</v>
      </c>
      <c r="BP166" s="1" t="s">
        <v>115</v>
      </c>
      <c r="BQ166" s="1" t="s">
        <v>2091</v>
      </c>
      <c r="BR166" s="1" t="s">
        <v>2342</v>
      </c>
      <c r="BS166" s="1" t="s">
        <v>2342</v>
      </c>
      <c r="BT166" s="1" t="s">
        <v>172</v>
      </c>
      <c r="BU166" s="1" t="s">
        <v>132</v>
      </c>
      <c r="BV166" s="1" t="s">
        <v>174</v>
      </c>
      <c r="BW166" s="1" t="s">
        <v>134</v>
      </c>
      <c r="BX166" s="1" t="s">
        <v>504</v>
      </c>
      <c r="BY166" s="1" t="s">
        <v>135</v>
      </c>
      <c r="BZ166" s="1" t="s">
        <v>157</v>
      </c>
      <c r="CA166" s="1">
        <v>4200</v>
      </c>
      <c r="CB166" s="1" t="s">
        <v>176</v>
      </c>
      <c r="CC166" s="1" t="s">
        <v>177</v>
      </c>
      <c r="CD166" s="1" t="s">
        <v>2343</v>
      </c>
      <c r="CE166" s="1" t="s">
        <v>179</v>
      </c>
      <c r="CF166" s="1">
        <v>3412560.31</v>
      </c>
      <c r="CG166" s="1">
        <v>3563000</v>
      </c>
      <c r="CH166" s="1">
        <v>0</v>
      </c>
      <c r="CI166" s="1">
        <v>0</v>
      </c>
      <c r="CJ166" s="1">
        <v>142</v>
      </c>
      <c r="CK166" s="1">
        <v>0</v>
      </c>
      <c r="CL166" s="1">
        <v>0</v>
      </c>
      <c r="CM166" s="1">
        <v>0</v>
      </c>
      <c r="CN166" s="1">
        <v>0</v>
      </c>
      <c r="CO166" s="1">
        <v>0</v>
      </c>
      <c r="CP166" s="1">
        <v>0</v>
      </c>
      <c r="CQ166" s="1">
        <v>0</v>
      </c>
      <c r="CR166" s="1" t="s">
        <v>418</v>
      </c>
      <c r="CS166" s="1" t="s">
        <v>2344</v>
      </c>
      <c r="CT166" s="1" t="s">
        <v>589</v>
      </c>
      <c r="CV166" s="1" t="s">
        <v>2345</v>
      </c>
      <c r="CW166" s="1" t="s">
        <v>251</v>
      </c>
      <c r="CX166" s="1" t="s">
        <v>114</v>
      </c>
      <c r="CY166" s="1" t="s">
        <v>114</v>
      </c>
      <c r="CZ166" s="1" t="s">
        <v>144</v>
      </c>
      <c r="DA166" s="1" t="s">
        <v>145</v>
      </c>
    </row>
    <row r="167" spans="1:105" s="3" customFormat="1" ht="11.25" customHeight="1" x14ac:dyDescent="0.2">
      <c r="A167" s="1">
        <v>41</v>
      </c>
      <c r="B167" s="1" t="s">
        <v>2347</v>
      </c>
      <c r="C167" s="1" t="s">
        <v>2346</v>
      </c>
      <c r="D167" s="1">
        <v>21851</v>
      </c>
      <c r="E167" s="2" t="s">
        <v>4201</v>
      </c>
      <c r="F167" s="1" t="s">
        <v>113</v>
      </c>
      <c r="G167" s="1" t="s">
        <v>190</v>
      </c>
      <c r="H167" s="1" t="s">
        <v>682</v>
      </c>
      <c r="I167" s="1" t="s">
        <v>229</v>
      </c>
      <c r="J167" s="1" t="s">
        <v>113</v>
      </c>
      <c r="L167" s="1" t="s">
        <v>111</v>
      </c>
      <c r="M167" s="1" t="s">
        <v>191</v>
      </c>
      <c r="N167" s="1" t="s">
        <v>484</v>
      </c>
      <c r="O167" s="1" t="s">
        <v>106</v>
      </c>
      <c r="P167" s="1" t="s">
        <v>113</v>
      </c>
      <c r="Q167" s="1" t="s">
        <v>111</v>
      </c>
      <c r="R167" s="1" t="s">
        <v>157</v>
      </c>
      <c r="S167" s="1" t="s">
        <v>157</v>
      </c>
      <c r="T167" s="1" t="s">
        <v>106</v>
      </c>
      <c r="U167" s="1" t="s">
        <v>2348</v>
      </c>
      <c r="V167" s="1" t="s">
        <v>2349</v>
      </c>
      <c r="W167" s="1" t="s">
        <v>115</v>
      </c>
      <c r="X167" s="1" t="s">
        <v>113</v>
      </c>
      <c r="Y167" s="1" t="s">
        <v>157</v>
      </c>
      <c r="Z167" s="1">
        <v>100</v>
      </c>
      <c r="AA167" s="1" t="s">
        <v>116</v>
      </c>
      <c r="AB167" s="1" t="s">
        <v>128</v>
      </c>
      <c r="AC167" s="1" t="s">
        <v>118</v>
      </c>
      <c r="AD167" s="1">
        <v>50</v>
      </c>
      <c r="AE167" s="1" t="s">
        <v>116</v>
      </c>
      <c r="AF167" s="1">
        <v>5840</v>
      </c>
      <c r="AG167" s="1" t="s">
        <v>113</v>
      </c>
      <c r="AH167" s="1">
        <v>0</v>
      </c>
      <c r="AI167" s="1">
        <v>0</v>
      </c>
      <c r="AJ167" s="1">
        <v>0</v>
      </c>
      <c r="AK167" s="1" t="s">
        <v>626</v>
      </c>
      <c r="AL167" s="1">
        <v>0</v>
      </c>
      <c r="AM167" s="1" t="s">
        <v>2350</v>
      </c>
      <c r="AN167" s="1">
        <v>0</v>
      </c>
      <c r="AO167" s="1" t="s">
        <v>113</v>
      </c>
      <c r="AP167" s="1" t="s">
        <v>113</v>
      </c>
      <c r="AQ167" s="1" t="s">
        <v>157</v>
      </c>
      <c r="AR167" s="1" t="s">
        <v>157</v>
      </c>
      <c r="AS167" s="1" t="s">
        <v>157</v>
      </c>
      <c r="AT167" s="1" t="s">
        <v>2351</v>
      </c>
      <c r="AU167" s="1" t="s">
        <v>106</v>
      </c>
      <c r="AV167" s="1" t="s">
        <v>113</v>
      </c>
      <c r="AW167" s="1" t="s">
        <v>205</v>
      </c>
      <c r="AX167" s="1" t="s">
        <v>550</v>
      </c>
      <c r="AY167" s="1">
        <v>0</v>
      </c>
      <c r="AZ167" s="1" t="s">
        <v>113</v>
      </c>
      <c r="BA167" s="1" t="s">
        <v>113</v>
      </c>
      <c r="BB167" s="1" t="s">
        <v>125</v>
      </c>
      <c r="BC167" s="1" t="s">
        <v>166</v>
      </c>
      <c r="BD167" s="1">
        <v>0</v>
      </c>
      <c r="BE167" s="1">
        <v>100</v>
      </c>
      <c r="BF167" s="1" t="s">
        <v>167</v>
      </c>
      <c r="BG167" s="1" t="s">
        <v>268</v>
      </c>
      <c r="BH167" s="1" t="s">
        <v>269</v>
      </c>
      <c r="BI167" s="1" t="s">
        <v>269</v>
      </c>
      <c r="BJ167" s="1" t="s">
        <v>208</v>
      </c>
      <c r="BK167" s="1">
        <v>50</v>
      </c>
      <c r="BL167" s="1" t="s">
        <v>294</v>
      </c>
      <c r="BM167" s="1" t="s">
        <v>271</v>
      </c>
      <c r="BN167" s="1">
        <v>10</v>
      </c>
      <c r="BO167" s="1">
        <v>5</v>
      </c>
      <c r="BP167" s="1" t="s">
        <v>124</v>
      </c>
      <c r="BQ167" s="1" t="s">
        <v>682</v>
      </c>
      <c r="BR167" s="1" t="s">
        <v>2352</v>
      </c>
      <c r="BS167" s="1" t="s">
        <v>2353</v>
      </c>
      <c r="BT167" s="1" t="s">
        <v>172</v>
      </c>
      <c r="BU167" s="1" t="s">
        <v>239</v>
      </c>
      <c r="BV167" s="1" t="s">
        <v>1433</v>
      </c>
      <c r="BW167" s="1" t="s">
        <v>298</v>
      </c>
      <c r="BX167" s="1" t="s">
        <v>325</v>
      </c>
      <c r="BY167" s="1" t="s">
        <v>299</v>
      </c>
      <c r="BZ167" s="1" t="s">
        <v>2354</v>
      </c>
      <c r="CA167" s="1">
        <v>5840</v>
      </c>
      <c r="CB167" s="1" t="s">
        <v>244</v>
      </c>
      <c r="CC167" s="1" t="s">
        <v>217</v>
      </c>
      <c r="CD167" s="1" t="s">
        <v>2355</v>
      </c>
      <c r="CE167" s="1" t="s">
        <v>219</v>
      </c>
      <c r="CF167" s="1">
        <v>1411861.09</v>
      </c>
      <c r="CG167" s="1">
        <v>235282.32</v>
      </c>
      <c r="CH167" s="1">
        <v>110641.16</v>
      </c>
      <c r="CI167" s="1">
        <v>0</v>
      </c>
      <c r="CJ167" s="1">
        <v>0</v>
      </c>
      <c r="CK167" s="1">
        <v>0</v>
      </c>
      <c r="CL167" s="1">
        <v>0</v>
      </c>
      <c r="CM167" s="1">
        <v>0</v>
      </c>
      <c r="CN167" s="1">
        <v>0</v>
      </c>
      <c r="CO167" s="1">
        <v>0</v>
      </c>
      <c r="CP167" s="1">
        <v>0</v>
      </c>
      <c r="CQ167" s="1">
        <v>0</v>
      </c>
      <c r="CR167" s="1" t="s">
        <v>139</v>
      </c>
      <c r="CS167" s="1" t="s">
        <v>140</v>
      </c>
      <c r="CT167" s="1" t="s">
        <v>573</v>
      </c>
      <c r="CU167" s="1" t="s">
        <v>460</v>
      </c>
      <c r="CV167" s="1" t="s">
        <v>439</v>
      </c>
      <c r="CW167" s="1" t="s">
        <v>141</v>
      </c>
      <c r="CX167" s="1" t="s">
        <v>2356</v>
      </c>
      <c r="CY167" s="1" t="s">
        <v>2357</v>
      </c>
      <c r="CZ167" s="1" t="s">
        <v>144</v>
      </c>
      <c r="DA167" s="1" t="s">
        <v>145</v>
      </c>
    </row>
    <row r="168" spans="1:105" s="3" customFormat="1" ht="11.25" customHeight="1" x14ac:dyDescent="0.2">
      <c r="A168" s="1">
        <v>41</v>
      </c>
      <c r="B168" s="1" t="s">
        <v>2359</v>
      </c>
      <c r="C168" s="1" t="s">
        <v>2358</v>
      </c>
      <c r="D168" s="1">
        <v>5835</v>
      </c>
      <c r="E168" s="2" t="s">
        <v>4201</v>
      </c>
      <c r="F168" s="1" t="s">
        <v>113</v>
      </c>
      <c r="H168" s="1" t="s">
        <v>190</v>
      </c>
      <c r="I168" s="1" t="s">
        <v>229</v>
      </c>
      <c r="J168" s="1" t="s">
        <v>229</v>
      </c>
      <c r="K168" s="1" t="s">
        <v>190</v>
      </c>
      <c r="L168" s="1" t="s">
        <v>111</v>
      </c>
      <c r="M168" s="1" t="s">
        <v>230</v>
      </c>
      <c r="N168" s="1" t="s">
        <v>2360</v>
      </c>
      <c r="O168" s="1" t="s">
        <v>106</v>
      </c>
      <c r="P168" s="1" t="s">
        <v>113</v>
      </c>
      <c r="Q168" s="1" t="s">
        <v>152</v>
      </c>
      <c r="R168" s="1" t="s">
        <v>127</v>
      </c>
      <c r="S168" s="1" t="s">
        <v>2361</v>
      </c>
      <c r="T168" s="1" t="s">
        <v>106</v>
      </c>
      <c r="U168" s="1" t="s">
        <v>2362</v>
      </c>
      <c r="V168" s="1" t="s">
        <v>2363</v>
      </c>
      <c r="W168" s="1" t="s">
        <v>115</v>
      </c>
      <c r="X168" s="1" t="s">
        <v>113</v>
      </c>
      <c r="Y168" s="1" t="s">
        <v>127</v>
      </c>
      <c r="Z168" s="1">
        <v>100</v>
      </c>
      <c r="AA168" s="1" t="s">
        <v>116</v>
      </c>
      <c r="AB168" s="1" t="s">
        <v>128</v>
      </c>
      <c r="AC168" s="1" t="s">
        <v>118</v>
      </c>
      <c r="AD168" s="1">
        <v>70</v>
      </c>
      <c r="AE168" s="1" t="s">
        <v>116</v>
      </c>
      <c r="AF168" s="1">
        <v>780</v>
      </c>
      <c r="AG168" s="1" t="s">
        <v>113</v>
      </c>
      <c r="AH168" s="1">
        <v>77</v>
      </c>
      <c r="AI168" s="1">
        <v>0</v>
      </c>
      <c r="AJ168" s="1">
        <v>0</v>
      </c>
      <c r="AK168" s="1" t="s">
        <v>2364</v>
      </c>
      <c r="AL168" s="1">
        <v>2485</v>
      </c>
      <c r="AM168" s="1" t="s">
        <v>120</v>
      </c>
      <c r="AN168" s="1">
        <v>0</v>
      </c>
      <c r="AO168" s="1" t="s">
        <v>113</v>
      </c>
      <c r="AP168" s="1" t="s">
        <v>106</v>
      </c>
      <c r="AQ168" s="1" t="s">
        <v>2365</v>
      </c>
      <c r="AR168" s="1" t="s">
        <v>2366</v>
      </c>
      <c r="AS168" s="1" t="s">
        <v>2367</v>
      </c>
      <c r="AT168" s="1" t="s">
        <v>759</v>
      </c>
      <c r="AU168" s="1" t="s">
        <v>106</v>
      </c>
      <c r="AV168" s="1" t="s">
        <v>113</v>
      </c>
      <c r="AW168" s="1" t="s">
        <v>234</v>
      </c>
      <c r="AX168" s="1" t="s">
        <v>235</v>
      </c>
      <c r="AY168" s="1">
        <v>0</v>
      </c>
      <c r="AZ168" s="1" t="s">
        <v>113</v>
      </c>
      <c r="BA168" s="1" t="s">
        <v>113</v>
      </c>
      <c r="BB168" s="1" t="s">
        <v>125</v>
      </c>
      <c r="BC168" s="1" t="s">
        <v>166</v>
      </c>
      <c r="BD168" s="1">
        <v>0</v>
      </c>
      <c r="BE168" s="1">
        <v>100</v>
      </c>
      <c r="BF168" s="1" t="s">
        <v>167</v>
      </c>
      <c r="BG168" s="1" t="s">
        <v>116</v>
      </c>
      <c r="BH168" s="1" t="s">
        <v>168</v>
      </c>
      <c r="BI168" s="1" t="s">
        <v>569</v>
      </c>
      <c r="BJ168" s="1" t="s">
        <v>208</v>
      </c>
      <c r="BK168" s="1">
        <v>70</v>
      </c>
      <c r="BL168" s="1" t="s">
        <v>167</v>
      </c>
      <c r="BM168" s="1" t="s">
        <v>210</v>
      </c>
      <c r="BN168" s="1" t="s">
        <v>143</v>
      </c>
      <c r="BP168" s="1" t="s">
        <v>115</v>
      </c>
      <c r="BQ168" s="1" t="s">
        <v>230</v>
      </c>
      <c r="BR168" s="1" t="s">
        <v>127</v>
      </c>
      <c r="BS168" s="1" t="s">
        <v>2368</v>
      </c>
      <c r="BT168" s="1" t="s">
        <v>172</v>
      </c>
      <c r="BU168" s="1" t="s">
        <v>132</v>
      </c>
      <c r="BV168" s="1" t="s">
        <v>2369</v>
      </c>
      <c r="BW168" s="1" t="s">
        <v>134</v>
      </c>
      <c r="BX168" s="1" t="s">
        <v>137</v>
      </c>
      <c r="BY168" s="1" t="s">
        <v>135</v>
      </c>
      <c r="BZ168" s="1" t="s">
        <v>127</v>
      </c>
      <c r="CA168" s="1">
        <v>600</v>
      </c>
      <c r="CB168" s="1" t="s">
        <v>244</v>
      </c>
      <c r="CC168" s="1" t="s">
        <v>217</v>
      </c>
      <c r="CD168" s="1" t="s">
        <v>2370</v>
      </c>
      <c r="CE168" s="1" t="s">
        <v>219</v>
      </c>
      <c r="CF168" s="1">
        <v>260329.92</v>
      </c>
      <c r="CG168" s="1">
        <v>669870.68999999994</v>
      </c>
      <c r="CH168" s="1">
        <v>302.08999999999997</v>
      </c>
      <c r="CI168" s="1">
        <v>0</v>
      </c>
      <c r="CJ168" s="1">
        <v>302.08999999999997</v>
      </c>
      <c r="CK168" s="1">
        <v>0</v>
      </c>
      <c r="CL168" s="1">
        <v>0</v>
      </c>
      <c r="CM168" s="1">
        <v>0</v>
      </c>
      <c r="CN168" s="1">
        <v>0</v>
      </c>
      <c r="CO168" s="1">
        <v>0</v>
      </c>
      <c r="CP168" s="1">
        <v>0</v>
      </c>
      <c r="CQ168" s="1">
        <v>0</v>
      </c>
      <c r="CR168" s="1" t="s">
        <v>139</v>
      </c>
      <c r="CS168" s="1" t="s">
        <v>140</v>
      </c>
      <c r="CT168" s="1" t="s">
        <v>2371</v>
      </c>
      <c r="CV168" s="1" t="s">
        <v>500</v>
      </c>
      <c r="CW168" s="1" t="s">
        <v>251</v>
      </c>
      <c r="CX168" s="1" t="s">
        <v>127</v>
      </c>
      <c r="CY168" s="1" t="s">
        <v>143</v>
      </c>
      <c r="CZ168" s="1" t="s">
        <v>144</v>
      </c>
      <c r="DA168" s="1" t="s">
        <v>145</v>
      </c>
    </row>
    <row r="169" spans="1:105" s="3" customFormat="1" ht="11.25" customHeight="1" x14ac:dyDescent="0.2">
      <c r="A169" s="1">
        <v>41</v>
      </c>
      <c r="B169" s="1" t="s">
        <v>2373</v>
      </c>
      <c r="C169" s="1" t="s">
        <v>2372</v>
      </c>
      <c r="D169" s="1">
        <v>5060</v>
      </c>
      <c r="E169" s="2" t="s">
        <v>4201</v>
      </c>
      <c r="F169" s="1" t="s">
        <v>106</v>
      </c>
      <c r="G169" s="1" t="s">
        <v>1664</v>
      </c>
      <c r="H169" s="1" t="s">
        <v>1942</v>
      </c>
      <c r="I169" s="1" t="s">
        <v>109</v>
      </c>
      <c r="J169" s="1" t="s">
        <v>106</v>
      </c>
      <c r="K169" s="1" t="s">
        <v>1942</v>
      </c>
      <c r="L169" s="1" t="s">
        <v>111</v>
      </c>
      <c r="M169" s="1" t="s">
        <v>1157</v>
      </c>
      <c r="N169" s="1" t="s">
        <v>112</v>
      </c>
      <c r="O169" s="1" t="s">
        <v>113</v>
      </c>
      <c r="P169" s="1" t="s">
        <v>113</v>
      </c>
      <c r="Q169" s="1" t="s">
        <v>152</v>
      </c>
      <c r="R169" s="1" t="s">
        <v>1263</v>
      </c>
      <c r="S169" s="1" t="s">
        <v>2374</v>
      </c>
      <c r="T169" s="1" t="s">
        <v>106</v>
      </c>
      <c r="U169" s="1" t="s">
        <v>2375</v>
      </c>
      <c r="V169" s="1" t="s">
        <v>1896</v>
      </c>
      <c r="W169" s="1" t="s">
        <v>115</v>
      </c>
      <c r="X169" s="1" t="s">
        <v>113</v>
      </c>
      <c r="Y169" s="1" t="s">
        <v>290</v>
      </c>
      <c r="Z169" s="1">
        <v>100</v>
      </c>
      <c r="AA169" s="1" t="s">
        <v>116</v>
      </c>
      <c r="AB169" s="1" t="s">
        <v>128</v>
      </c>
      <c r="AC169" s="1" t="s">
        <v>118</v>
      </c>
      <c r="AD169" s="1">
        <v>50</v>
      </c>
      <c r="AE169" s="1" t="s">
        <v>116</v>
      </c>
      <c r="AF169" s="1">
        <v>600</v>
      </c>
      <c r="AG169" s="1" t="s">
        <v>113</v>
      </c>
      <c r="AH169" s="1">
        <v>0</v>
      </c>
      <c r="AI169" s="1">
        <v>0</v>
      </c>
      <c r="AJ169" s="1">
        <v>0</v>
      </c>
      <c r="AK169" s="1" t="s">
        <v>796</v>
      </c>
      <c r="AL169" s="1">
        <v>300</v>
      </c>
      <c r="AM169" s="1" t="s">
        <v>2376</v>
      </c>
      <c r="AN169" s="1">
        <v>0</v>
      </c>
      <c r="AO169" s="1" t="s">
        <v>113</v>
      </c>
      <c r="AP169" s="1" t="s">
        <v>113</v>
      </c>
      <c r="AQ169" s="1" t="s">
        <v>157</v>
      </c>
      <c r="AR169" s="1" t="s">
        <v>1263</v>
      </c>
      <c r="AS169" s="1" t="s">
        <v>1263</v>
      </c>
      <c r="AT169" s="1" t="s">
        <v>123</v>
      </c>
      <c r="AU169" s="1" t="s">
        <v>113</v>
      </c>
      <c r="AV169" s="1" t="s">
        <v>113</v>
      </c>
      <c r="AW169" s="1" t="s">
        <v>164</v>
      </c>
      <c r="AX169" s="1" t="s">
        <v>165</v>
      </c>
      <c r="AY169" s="1">
        <v>0</v>
      </c>
      <c r="AZ169" s="1" t="s">
        <v>113</v>
      </c>
      <c r="BA169" s="1" t="s">
        <v>113</v>
      </c>
      <c r="BB169" s="1" t="s">
        <v>125</v>
      </c>
      <c r="BC169" s="1" t="s">
        <v>166</v>
      </c>
      <c r="BD169" s="1">
        <v>0</v>
      </c>
      <c r="BE169" s="1">
        <v>100</v>
      </c>
      <c r="BF169" s="1" t="s">
        <v>167</v>
      </c>
      <c r="BG169" s="1" t="s">
        <v>383</v>
      </c>
      <c r="BH169" s="1" t="s">
        <v>569</v>
      </c>
      <c r="BI169" s="1" t="s">
        <v>569</v>
      </c>
      <c r="BJ169" s="1" t="s">
        <v>208</v>
      </c>
      <c r="BK169" s="1">
        <v>50</v>
      </c>
      <c r="BL169" s="1" t="s">
        <v>167</v>
      </c>
      <c r="BM169" s="1" t="s">
        <v>386</v>
      </c>
      <c r="BN169" s="1" t="s">
        <v>143</v>
      </c>
      <c r="BO169" s="1">
        <v>4</v>
      </c>
      <c r="BP169" s="1" t="s">
        <v>115</v>
      </c>
      <c r="BQ169" s="1" t="s">
        <v>2377</v>
      </c>
      <c r="BR169" s="1" t="s">
        <v>2378</v>
      </c>
      <c r="BS169" s="1" t="s">
        <v>2379</v>
      </c>
      <c r="BT169" s="1" t="s">
        <v>172</v>
      </c>
      <c r="BU169" s="1" t="s">
        <v>1766</v>
      </c>
      <c r="BV169" s="1" t="s">
        <v>694</v>
      </c>
      <c r="BW169" s="1" t="s">
        <v>134</v>
      </c>
      <c r="BX169" s="1" t="s">
        <v>1928</v>
      </c>
      <c r="BY169" s="1" t="s">
        <v>135</v>
      </c>
      <c r="BZ169" s="1" t="s">
        <v>2380</v>
      </c>
      <c r="CA169" s="1">
        <v>600</v>
      </c>
      <c r="CB169" s="1" t="s">
        <v>176</v>
      </c>
      <c r="CC169" s="1" t="s">
        <v>301</v>
      </c>
      <c r="CD169" s="1" t="s">
        <v>2381</v>
      </c>
      <c r="CE169" s="1" t="s">
        <v>179</v>
      </c>
      <c r="CF169" s="1">
        <v>130150</v>
      </c>
      <c r="CG169" s="5" t="s">
        <v>220</v>
      </c>
      <c r="CH169" s="1">
        <v>13015010</v>
      </c>
      <c r="CI169" s="5" t="s">
        <v>220</v>
      </c>
      <c r="CJ169" s="1">
        <v>185000</v>
      </c>
      <c r="CK169" s="1">
        <v>60000</v>
      </c>
      <c r="CL169" s="5" t="s">
        <v>220</v>
      </c>
      <c r="CM169" s="5" t="s">
        <v>220</v>
      </c>
      <c r="CN169" s="5" t="s">
        <v>220</v>
      </c>
      <c r="CO169" s="5" t="s">
        <v>220</v>
      </c>
      <c r="CP169" s="5" t="s">
        <v>220</v>
      </c>
      <c r="CQ169" s="5" t="s">
        <v>220</v>
      </c>
      <c r="CR169" s="1" t="s">
        <v>139</v>
      </c>
      <c r="CS169" s="1" t="s">
        <v>308</v>
      </c>
      <c r="CT169" s="1" t="s">
        <v>288</v>
      </c>
      <c r="CU169" s="1"/>
      <c r="CV169" s="1" t="s">
        <v>2382</v>
      </c>
      <c r="CW169" s="1" t="s">
        <v>251</v>
      </c>
      <c r="CX169" s="1" t="s">
        <v>290</v>
      </c>
      <c r="CY169" s="1" t="s">
        <v>143</v>
      </c>
      <c r="CZ169" s="1" t="s">
        <v>144</v>
      </c>
      <c r="DA169" s="1" t="s">
        <v>145</v>
      </c>
    </row>
    <row r="170" spans="1:105" s="3" customFormat="1" ht="11.25" customHeight="1" x14ac:dyDescent="0.2">
      <c r="A170" s="1">
        <v>41</v>
      </c>
      <c r="B170" s="1" t="s">
        <v>2384</v>
      </c>
      <c r="C170" s="1" t="s">
        <v>2383</v>
      </c>
      <c r="D170" s="1">
        <v>9354</v>
      </c>
      <c r="E170" s="2" t="s">
        <v>4201</v>
      </c>
      <c r="F170" s="1" t="s">
        <v>106</v>
      </c>
      <c r="G170" s="1" t="s">
        <v>398</v>
      </c>
      <c r="H170" s="1" t="s">
        <v>359</v>
      </c>
      <c r="I170" s="1" t="s">
        <v>2385</v>
      </c>
      <c r="J170" s="1" t="s">
        <v>113</v>
      </c>
      <c r="K170" s="1">
        <v>0</v>
      </c>
      <c r="L170" s="1" t="s">
        <v>149</v>
      </c>
      <c r="M170" s="1" t="s">
        <v>2386</v>
      </c>
      <c r="N170" s="1" t="s">
        <v>1349</v>
      </c>
      <c r="O170" s="1" t="s">
        <v>106</v>
      </c>
      <c r="P170" s="1" t="s">
        <v>113</v>
      </c>
      <c r="Q170" s="1" t="s">
        <v>195</v>
      </c>
      <c r="R170" s="1" t="s">
        <v>2386</v>
      </c>
      <c r="S170" s="1" t="s">
        <v>157</v>
      </c>
      <c r="T170" s="1" t="s">
        <v>106</v>
      </c>
      <c r="U170" s="1" t="s">
        <v>2386</v>
      </c>
      <c r="V170" s="1" t="s">
        <v>2387</v>
      </c>
      <c r="W170" s="1" t="s">
        <v>199</v>
      </c>
      <c r="X170" s="1" t="s">
        <v>106</v>
      </c>
      <c r="Y170" s="1" t="s">
        <v>2386</v>
      </c>
      <c r="Z170" s="1">
        <v>100</v>
      </c>
      <c r="AA170" s="1" t="s">
        <v>116</v>
      </c>
      <c r="AB170" s="1" t="s">
        <v>128</v>
      </c>
      <c r="AC170" s="1" t="s">
        <v>128</v>
      </c>
      <c r="AD170" s="1">
        <v>0</v>
      </c>
      <c r="AE170" s="1" t="s">
        <v>2388</v>
      </c>
      <c r="AF170" s="4">
        <v>127000</v>
      </c>
      <c r="AG170" s="1" t="s">
        <v>113</v>
      </c>
      <c r="AH170" s="1">
        <v>80</v>
      </c>
      <c r="AI170" s="1">
        <v>20</v>
      </c>
      <c r="AJ170" s="1">
        <v>80</v>
      </c>
      <c r="AK170" s="1" t="s">
        <v>232</v>
      </c>
      <c r="AL170" s="1">
        <v>0</v>
      </c>
      <c r="AM170" s="1" t="s">
        <v>172</v>
      </c>
      <c r="AN170" s="4">
        <v>400000</v>
      </c>
      <c r="AO170" s="1" t="s">
        <v>113</v>
      </c>
      <c r="AP170" s="1" t="s">
        <v>113</v>
      </c>
      <c r="AQ170" s="1">
        <v>0</v>
      </c>
      <c r="AR170" s="1">
        <v>0</v>
      </c>
      <c r="AS170" s="1">
        <v>0</v>
      </c>
      <c r="AT170" s="1" t="s">
        <v>123</v>
      </c>
      <c r="AU170" s="1" t="s">
        <v>106</v>
      </c>
      <c r="AV170" s="1" t="s">
        <v>113</v>
      </c>
      <c r="AW170" s="1" t="s">
        <v>164</v>
      </c>
      <c r="AX170" s="1" t="s">
        <v>165</v>
      </c>
      <c r="AY170" s="4">
        <v>150000</v>
      </c>
      <c r="AZ170" s="1" t="s">
        <v>113</v>
      </c>
      <c r="BA170" s="1" t="s">
        <v>113</v>
      </c>
      <c r="BB170" s="1" t="s">
        <v>125</v>
      </c>
      <c r="BC170" s="1" t="s">
        <v>206</v>
      </c>
      <c r="BD170" s="1">
        <v>0</v>
      </c>
      <c r="BE170" s="1">
        <v>100</v>
      </c>
      <c r="BF170" s="1" t="s">
        <v>167</v>
      </c>
      <c r="BG170" s="1" t="s">
        <v>132</v>
      </c>
      <c r="BH170" s="1" t="s">
        <v>168</v>
      </c>
      <c r="BI170" s="1" t="s">
        <v>168</v>
      </c>
      <c r="BJ170" s="1" t="s">
        <v>128</v>
      </c>
      <c r="BK170" s="1">
        <v>100</v>
      </c>
      <c r="BL170" s="1" t="s">
        <v>127</v>
      </c>
      <c r="BM170" s="1" t="s">
        <v>114</v>
      </c>
      <c r="BN170" s="1" t="s">
        <v>276</v>
      </c>
      <c r="BP170" s="1" t="s">
        <v>124</v>
      </c>
      <c r="BQ170" s="1" t="s">
        <v>2389</v>
      </c>
      <c r="BR170" s="1" t="s">
        <v>2390</v>
      </c>
      <c r="BS170" s="1" t="s">
        <v>2391</v>
      </c>
      <c r="BT170" s="1" t="s">
        <v>172</v>
      </c>
      <c r="BU170" s="1" t="s">
        <v>239</v>
      </c>
      <c r="BV170" s="1" t="s">
        <v>2392</v>
      </c>
      <c r="BW170" s="1" t="s">
        <v>134</v>
      </c>
      <c r="BX170" s="1" t="s">
        <v>325</v>
      </c>
      <c r="BY170" s="1" t="s">
        <v>454</v>
      </c>
      <c r="BZ170" s="1" t="s">
        <v>2393</v>
      </c>
      <c r="CA170" s="4">
        <v>127000</v>
      </c>
      <c r="CB170" s="1" t="s">
        <v>176</v>
      </c>
      <c r="CC170" s="1" t="s">
        <v>301</v>
      </c>
      <c r="CD170" s="1" t="s">
        <v>2394</v>
      </c>
      <c r="CE170" s="1" t="s">
        <v>179</v>
      </c>
      <c r="CF170" s="6">
        <v>276557.44</v>
      </c>
      <c r="CG170" s="6">
        <v>379584.36</v>
      </c>
      <c r="CH170" s="1">
        <v>0</v>
      </c>
      <c r="CI170" s="1">
        <v>0</v>
      </c>
      <c r="CJ170" s="1">
        <v>0</v>
      </c>
      <c r="CK170" s="6">
        <v>49897.8</v>
      </c>
      <c r="CL170" s="1">
        <v>0</v>
      </c>
      <c r="CM170" s="1">
        <v>0</v>
      </c>
      <c r="CN170" s="1">
        <v>0</v>
      </c>
      <c r="CO170" s="1">
        <v>0</v>
      </c>
      <c r="CP170" s="1">
        <v>0</v>
      </c>
      <c r="CQ170" s="1">
        <v>0</v>
      </c>
      <c r="CR170" s="1" t="s">
        <v>418</v>
      </c>
      <c r="CS170" s="1" t="s">
        <v>140</v>
      </c>
      <c r="CT170" s="1" t="s">
        <v>2395</v>
      </c>
      <c r="CV170" s="1" t="s">
        <v>2396</v>
      </c>
      <c r="CW170" s="1" t="s">
        <v>184</v>
      </c>
      <c r="CX170" s="1" t="s">
        <v>157</v>
      </c>
      <c r="CY170" s="1" t="s">
        <v>276</v>
      </c>
      <c r="CZ170" s="1" t="s">
        <v>144</v>
      </c>
      <c r="DA170" s="1" t="s">
        <v>145</v>
      </c>
    </row>
    <row r="171" spans="1:105" s="3" customFormat="1" ht="11.25" customHeight="1" x14ac:dyDescent="0.2">
      <c r="A171" s="1">
        <v>41</v>
      </c>
      <c r="B171" s="1" t="s">
        <v>2398</v>
      </c>
      <c r="C171" s="1" t="s">
        <v>2397</v>
      </c>
      <c r="D171" s="1">
        <v>12130</v>
      </c>
      <c r="E171" s="2" t="s">
        <v>4201</v>
      </c>
      <c r="F171" s="1" t="s">
        <v>106</v>
      </c>
      <c r="G171" s="1" t="s">
        <v>398</v>
      </c>
      <c r="H171" s="1" t="s">
        <v>359</v>
      </c>
      <c r="I171" s="1" t="s">
        <v>2399</v>
      </c>
      <c r="J171" s="1" t="s">
        <v>113</v>
      </c>
      <c r="L171" s="1" t="s">
        <v>111</v>
      </c>
      <c r="M171" s="1" t="s">
        <v>191</v>
      </c>
      <c r="N171" s="1" t="s">
        <v>112</v>
      </c>
      <c r="O171" s="1" t="s">
        <v>106</v>
      </c>
      <c r="P171" s="1" t="s">
        <v>113</v>
      </c>
      <c r="Q171" s="1" t="s">
        <v>152</v>
      </c>
      <c r="R171" s="1" t="s">
        <v>114</v>
      </c>
      <c r="S171" s="1" t="s">
        <v>114</v>
      </c>
      <c r="T171" s="1" t="s">
        <v>106</v>
      </c>
      <c r="U171" s="1" t="s">
        <v>114</v>
      </c>
      <c r="V171" s="1" t="s">
        <v>566</v>
      </c>
      <c r="W171" s="1" t="s">
        <v>115</v>
      </c>
      <c r="X171" s="1" t="s">
        <v>113</v>
      </c>
      <c r="Y171" s="1" t="s">
        <v>114</v>
      </c>
      <c r="Z171" s="1">
        <v>100</v>
      </c>
      <c r="AA171" s="1" t="s">
        <v>116</v>
      </c>
      <c r="AB171" s="1" t="s">
        <v>128</v>
      </c>
      <c r="AC171" s="1" t="s">
        <v>118</v>
      </c>
      <c r="AD171" s="1">
        <v>40</v>
      </c>
      <c r="AE171" s="1" t="s">
        <v>116</v>
      </c>
      <c r="AF171" s="1">
        <v>1616</v>
      </c>
      <c r="AG171" s="1" t="s">
        <v>113</v>
      </c>
      <c r="AH171" s="1">
        <v>43</v>
      </c>
      <c r="AI171" s="1">
        <v>17</v>
      </c>
      <c r="AJ171" s="1">
        <v>40</v>
      </c>
      <c r="AK171" s="1" t="s">
        <v>449</v>
      </c>
      <c r="AL171" s="1">
        <v>500</v>
      </c>
      <c r="AM171" s="1" t="s">
        <v>2400</v>
      </c>
      <c r="AN171" s="1">
        <v>0</v>
      </c>
      <c r="AO171" s="1" t="s">
        <v>113</v>
      </c>
      <c r="AP171" s="1" t="s">
        <v>106</v>
      </c>
      <c r="AQ171" s="1" t="s">
        <v>2401</v>
      </c>
      <c r="AR171" s="1" t="s">
        <v>2402</v>
      </c>
      <c r="AS171" s="1" t="s">
        <v>2403</v>
      </c>
      <c r="AT171" s="1" t="s">
        <v>628</v>
      </c>
      <c r="AU171" s="1" t="s">
        <v>113</v>
      </c>
      <c r="AV171" s="1" t="s">
        <v>113</v>
      </c>
      <c r="AW171" s="1" t="s">
        <v>164</v>
      </c>
      <c r="AY171" s="1">
        <v>0</v>
      </c>
      <c r="AZ171" s="1" t="s">
        <v>113</v>
      </c>
      <c r="BA171" s="1" t="s">
        <v>113</v>
      </c>
      <c r="BB171" s="1" t="s">
        <v>125</v>
      </c>
      <c r="BD171" s="1">
        <v>0</v>
      </c>
      <c r="BE171" s="1">
        <v>100</v>
      </c>
      <c r="BF171" s="1" t="s">
        <v>167</v>
      </c>
      <c r="BG171" s="1" t="s">
        <v>268</v>
      </c>
      <c r="BH171" s="1" t="s">
        <v>169</v>
      </c>
      <c r="BI171" s="1" t="s">
        <v>169</v>
      </c>
      <c r="BJ171" s="1" t="s">
        <v>208</v>
      </c>
      <c r="BK171" s="1">
        <v>40</v>
      </c>
      <c r="BL171" s="1" t="s">
        <v>167</v>
      </c>
      <c r="BM171" s="1" t="s">
        <v>271</v>
      </c>
      <c r="BN171" s="1">
        <v>10</v>
      </c>
      <c r="BO171" s="1">
        <v>0</v>
      </c>
      <c r="BP171" s="1" t="s">
        <v>115</v>
      </c>
      <c r="BQ171" s="1" t="s">
        <v>481</v>
      </c>
      <c r="BR171" s="1" t="s">
        <v>2404</v>
      </c>
      <c r="BS171" s="1" t="s">
        <v>2405</v>
      </c>
      <c r="BT171" s="1" t="s">
        <v>172</v>
      </c>
      <c r="BU171" s="1" t="s">
        <v>132</v>
      </c>
      <c r="BV171" s="1" t="s">
        <v>1825</v>
      </c>
      <c r="BW171" s="1" t="s">
        <v>134</v>
      </c>
      <c r="BX171" s="1" t="s">
        <v>175</v>
      </c>
      <c r="BY171" s="1" t="s">
        <v>135</v>
      </c>
      <c r="BZ171" s="1" t="s">
        <v>1400</v>
      </c>
      <c r="CA171" s="1">
        <v>1617</v>
      </c>
      <c r="CB171" s="1" t="s">
        <v>176</v>
      </c>
      <c r="CC171" s="1" t="s">
        <v>177</v>
      </c>
      <c r="CD171" s="1" t="s">
        <v>2406</v>
      </c>
      <c r="CE171" s="1" t="s">
        <v>219</v>
      </c>
      <c r="CF171" s="1">
        <v>636862</v>
      </c>
      <c r="CG171" s="1">
        <v>762802</v>
      </c>
      <c r="CH171" s="1">
        <v>580430</v>
      </c>
      <c r="CI171" s="1">
        <v>292</v>
      </c>
      <c r="CJ171" s="1">
        <v>292</v>
      </c>
      <c r="CK171" s="1">
        <v>799</v>
      </c>
      <c r="CL171" s="1">
        <v>650</v>
      </c>
      <c r="CM171" s="5" t="s">
        <v>126</v>
      </c>
      <c r="CN171" s="1">
        <v>43</v>
      </c>
      <c r="CO171" s="5" t="s">
        <v>220</v>
      </c>
      <c r="CP171" s="5" t="s">
        <v>220</v>
      </c>
      <c r="CQ171" s="5" t="s">
        <v>126</v>
      </c>
      <c r="CR171" s="1" t="s">
        <v>139</v>
      </c>
      <c r="CS171" s="1" t="s">
        <v>140</v>
      </c>
      <c r="CT171" s="1" t="s">
        <v>394</v>
      </c>
      <c r="CV171" s="1" t="s">
        <v>2407</v>
      </c>
      <c r="CW171" s="1" t="s">
        <v>184</v>
      </c>
      <c r="CX171" s="1" t="s">
        <v>2408</v>
      </c>
      <c r="CY171" s="1" t="s">
        <v>2409</v>
      </c>
      <c r="CZ171" s="1" t="s">
        <v>144</v>
      </c>
      <c r="DA171" s="1" t="s">
        <v>145</v>
      </c>
    </row>
    <row r="172" spans="1:105" s="3" customFormat="1" ht="11.25" customHeight="1" x14ac:dyDescent="0.2">
      <c r="A172" s="1">
        <v>41</v>
      </c>
      <c r="B172" s="1" t="s">
        <v>2411</v>
      </c>
      <c r="C172" s="1" t="s">
        <v>2410</v>
      </c>
      <c r="D172" s="1">
        <v>1353</v>
      </c>
      <c r="E172" s="2" t="s">
        <v>4201</v>
      </c>
      <c r="F172" s="1" t="s">
        <v>106</v>
      </c>
      <c r="G172" s="1" t="s">
        <v>254</v>
      </c>
      <c r="H172" s="1" t="s">
        <v>255</v>
      </c>
      <c r="I172" s="1" t="s">
        <v>2412</v>
      </c>
      <c r="J172" s="1" t="s">
        <v>106</v>
      </c>
      <c r="K172" s="1" t="s">
        <v>255</v>
      </c>
      <c r="L172" s="1" t="s">
        <v>111</v>
      </c>
      <c r="M172" s="1" t="s">
        <v>191</v>
      </c>
      <c r="N172" s="1" t="s">
        <v>112</v>
      </c>
      <c r="O172" s="1" t="s">
        <v>113</v>
      </c>
      <c r="P172" s="1" t="s">
        <v>113</v>
      </c>
      <c r="Q172" s="1" t="s">
        <v>195</v>
      </c>
      <c r="R172" s="1" t="s">
        <v>2413</v>
      </c>
      <c r="S172" s="1" t="s">
        <v>157</v>
      </c>
      <c r="T172" s="1" t="s">
        <v>106</v>
      </c>
      <c r="U172" s="1" t="s">
        <v>2414</v>
      </c>
      <c r="V172" s="1" t="s">
        <v>2415</v>
      </c>
      <c r="W172" s="1" t="s">
        <v>755</v>
      </c>
      <c r="X172" s="1" t="s">
        <v>113</v>
      </c>
      <c r="Y172" s="1" t="s">
        <v>157</v>
      </c>
      <c r="Z172" s="1">
        <v>100</v>
      </c>
      <c r="AA172" s="1" t="s">
        <v>116</v>
      </c>
      <c r="AB172" s="1" t="s">
        <v>128</v>
      </c>
      <c r="AC172" s="1" t="s">
        <v>128</v>
      </c>
      <c r="AD172" s="1">
        <v>0</v>
      </c>
      <c r="AE172" s="1" t="s">
        <v>157</v>
      </c>
      <c r="AF172" s="1">
        <v>146</v>
      </c>
      <c r="AG172" s="1" t="s">
        <v>113</v>
      </c>
      <c r="AH172" s="1">
        <v>0</v>
      </c>
      <c r="AI172" s="1">
        <v>0</v>
      </c>
      <c r="AJ172" s="1">
        <v>0</v>
      </c>
      <c r="AK172" s="1" t="s">
        <v>232</v>
      </c>
      <c r="AL172" s="1">
        <v>0</v>
      </c>
      <c r="AM172" s="1" t="s">
        <v>363</v>
      </c>
      <c r="AN172" s="1">
        <v>0</v>
      </c>
      <c r="AO172" s="1" t="s">
        <v>113</v>
      </c>
      <c r="AP172" s="1" t="s">
        <v>106</v>
      </c>
      <c r="AQ172" s="1" t="s">
        <v>2416</v>
      </c>
      <c r="AR172" s="1" t="s">
        <v>2417</v>
      </c>
      <c r="AS172" s="1" t="s">
        <v>2418</v>
      </c>
      <c r="AT172" s="1" t="s">
        <v>123</v>
      </c>
      <c r="AU172" s="1" t="s">
        <v>113</v>
      </c>
      <c r="AV172" s="1" t="s">
        <v>113</v>
      </c>
      <c r="AW172" s="1" t="s">
        <v>164</v>
      </c>
      <c r="AX172" s="1" t="s">
        <v>165</v>
      </c>
      <c r="AY172" s="1">
        <v>0</v>
      </c>
      <c r="AZ172" s="1" t="s">
        <v>113</v>
      </c>
      <c r="BA172" s="1" t="s">
        <v>113</v>
      </c>
      <c r="BB172" s="1" t="s">
        <v>125</v>
      </c>
      <c r="BC172" s="1" t="s">
        <v>166</v>
      </c>
      <c r="BD172" s="1">
        <v>0</v>
      </c>
      <c r="BE172" s="1">
        <v>100</v>
      </c>
      <c r="BF172" s="1" t="s">
        <v>167</v>
      </c>
      <c r="BG172" s="1" t="s">
        <v>116</v>
      </c>
      <c r="BI172" s="1" t="s">
        <v>269</v>
      </c>
      <c r="BJ172" s="1" t="s">
        <v>128</v>
      </c>
      <c r="BK172" s="1">
        <v>0</v>
      </c>
      <c r="BL172" s="1" t="s">
        <v>127</v>
      </c>
      <c r="BM172" s="1" t="s">
        <v>114</v>
      </c>
      <c r="BN172" s="1" t="s">
        <v>143</v>
      </c>
      <c r="BP172" s="1" t="s">
        <v>115</v>
      </c>
      <c r="BQ172" s="1" t="s">
        <v>359</v>
      </c>
      <c r="BR172" s="1" t="s">
        <v>2419</v>
      </c>
      <c r="BS172" s="1" t="s">
        <v>365</v>
      </c>
      <c r="BT172" s="1" t="s">
        <v>172</v>
      </c>
      <c r="BU172" s="1" t="s">
        <v>132</v>
      </c>
      <c r="BV172" s="1" t="s">
        <v>174</v>
      </c>
      <c r="BW172" s="1" t="s">
        <v>134</v>
      </c>
      <c r="BX172" s="1" t="s">
        <v>157</v>
      </c>
      <c r="BY172" s="1" t="s">
        <v>135</v>
      </c>
      <c r="BZ172" s="1" t="s">
        <v>2420</v>
      </c>
      <c r="CA172" s="1">
        <v>146</v>
      </c>
      <c r="CB172" s="1" t="s">
        <v>137</v>
      </c>
      <c r="CC172" s="1" t="s">
        <v>138</v>
      </c>
      <c r="CF172" s="1">
        <v>0</v>
      </c>
      <c r="CG172" s="1">
        <v>373810.04</v>
      </c>
      <c r="CH172" s="1">
        <v>0</v>
      </c>
      <c r="CI172" s="1">
        <v>0</v>
      </c>
      <c r="CJ172" s="1">
        <v>300</v>
      </c>
      <c r="CK172" s="1">
        <v>0</v>
      </c>
      <c r="CL172" s="1">
        <v>1111590</v>
      </c>
      <c r="CM172" s="1">
        <v>0</v>
      </c>
      <c r="CN172" s="1">
        <v>0</v>
      </c>
      <c r="CO172" s="1">
        <v>0</v>
      </c>
      <c r="CP172" s="1">
        <v>0</v>
      </c>
      <c r="CQ172" s="1">
        <v>0</v>
      </c>
      <c r="CR172" s="1" t="s">
        <v>418</v>
      </c>
      <c r="CS172" s="1" t="s">
        <v>140</v>
      </c>
      <c r="CT172" s="1" t="s">
        <v>394</v>
      </c>
      <c r="CW172" s="1" t="s">
        <v>251</v>
      </c>
      <c r="CX172" s="1" t="s">
        <v>157</v>
      </c>
      <c r="CY172" s="1" t="s">
        <v>143</v>
      </c>
      <c r="CZ172" s="1" t="s">
        <v>144</v>
      </c>
      <c r="DA172" s="1" t="s">
        <v>145</v>
      </c>
    </row>
    <row r="173" spans="1:105" s="3" customFormat="1" ht="11.25" customHeight="1" x14ac:dyDescent="0.2">
      <c r="A173" s="1">
        <v>41</v>
      </c>
      <c r="B173" s="1" t="s">
        <v>2421</v>
      </c>
      <c r="C173" s="1" t="s">
        <v>2422</v>
      </c>
      <c r="D173" s="1">
        <v>7961</v>
      </c>
      <c r="E173" s="2" t="s">
        <v>1688</v>
      </c>
      <c r="F173" s="1"/>
      <c r="H173" s="1"/>
      <c r="I173" s="1"/>
      <c r="J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Y173" s="1"/>
      <c r="AZ173" s="1"/>
      <c r="BA173" s="1"/>
      <c r="BB173" s="1"/>
      <c r="BD173" s="1"/>
      <c r="BE173" s="1"/>
      <c r="BF173" s="1"/>
      <c r="BG173" s="1"/>
      <c r="BJ173" s="1"/>
      <c r="BK173" s="1"/>
      <c r="BL173" s="1"/>
      <c r="BM173" s="1"/>
      <c r="BN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W173" s="1"/>
      <c r="CX173" s="1"/>
      <c r="CY173" s="1"/>
      <c r="CZ173" s="1"/>
      <c r="DA173" s="1"/>
    </row>
    <row r="174" spans="1:105" s="3" customFormat="1" ht="11.25" customHeight="1" x14ac:dyDescent="0.2">
      <c r="A174" s="1">
        <v>41</v>
      </c>
      <c r="B174" s="1" t="s">
        <v>2424</v>
      </c>
      <c r="C174" s="1" t="s">
        <v>2423</v>
      </c>
      <c r="D174" s="1">
        <v>11971</v>
      </c>
      <c r="E174" s="2" t="s">
        <v>4201</v>
      </c>
      <c r="F174" s="1" t="s">
        <v>113</v>
      </c>
      <c r="G174" s="1" t="s">
        <v>2425</v>
      </c>
      <c r="H174" s="1" t="s">
        <v>682</v>
      </c>
      <c r="I174" s="1" t="s">
        <v>193</v>
      </c>
      <c r="J174" s="1" t="s">
        <v>229</v>
      </c>
      <c r="K174" s="1" t="s">
        <v>682</v>
      </c>
      <c r="L174" s="1" t="s">
        <v>2426</v>
      </c>
      <c r="M174" s="1" t="s">
        <v>682</v>
      </c>
      <c r="N174" s="1" t="s">
        <v>112</v>
      </c>
      <c r="O174" s="1" t="s">
        <v>106</v>
      </c>
      <c r="P174" s="1" t="s">
        <v>113</v>
      </c>
      <c r="Q174" s="1" t="s">
        <v>195</v>
      </c>
      <c r="R174" s="1" t="s">
        <v>2427</v>
      </c>
      <c r="S174" s="1" t="s">
        <v>682</v>
      </c>
      <c r="T174" s="1" t="s">
        <v>106</v>
      </c>
      <c r="U174" s="1" t="s">
        <v>682</v>
      </c>
      <c r="V174" s="1" t="s">
        <v>2428</v>
      </c>
      <c r="W174" s="1" t="s">
        <v>115</v>
      </c>
      <c r="X174" s="1" t="s">
        <v>113</v>
      </c>
      <c r="Y174" s="1" t="s">
        <v>682</v>
      </c>
      <c r="Z174" s="1">
        <v>100</v>
      </c>
      <c r="AA174" s="1" t="s">
        <v>132</v>
      </c>
      <c r="AB174" s="1" t="s">
        <v>128</v>
      </c>
      <c r="AC174" s="1" t="s">
        <v>118</v>
      </c>
      <c r="AD174" s="1">
        <v>20</v>
      </c>
      <c r="AE174" s="1" t="s">
        <v>159</v>
      </c>
      <c r="AF174" s="1">
        <v>2157</v>
      </c>
      <c r="AG174" s="1" t="s">
        <v>113</v>
      </c>
      <c r="AH174" s="1">
        <v>0</v>
      </c>
      <c r="AI174" s="1">
        <v>0</v>
      </c>
      <c r="AK174" s="1" t="s">
        <v>1235</v>
      </c>
      <c r="AL174" s="1">
        <v>520</v>
      </c>
      <c r="AM174" s="1" t="s">
        <v>131</v>
      </c>
      <c r="AN174" s="1">
        <v>0</v>
      </c>
      <c r="AO174" s="1" t="s">
        <v>113</v>
      </c>
      <c r="AP174" s="1" t="s">
        <v>113</v>
      </c>
      <c r="AQ174" s="1" t="s">
        <v>682</v>
      </c>
      <c r="AR174" s="1" t="s">
        <v>682</v>
      </c>
      <c r="AS174" s="1" t="s">
        <v>682</v>
      </c>
      <c r="AT174" s="1" t="s">
        <v>123</v>
      </c>
      <c r="AU174" s="1" t="s">
        <v>113</v>
      </c>
      <c r="AV174" s="1" t="s">
        <v>113</v>
      </c>
      <c r="AW174" s="1" t="s">
        <v>124</v>
      </c>
      <c r="AX174" s="1" t="s">
        <v>2429</v>
      </c>
      <c r="AY174" s="1">
        <v>0</v>
      </c>
      <c r="AZ174" s="1" t="s">
        <v>113</v>
      </c>
      <c r="BA174" s="1" t="s">
        <v>113</v>
      </c>
      <c r="BB174" s="1" t="s">
        <v>125</v>
      </c>
      <c r="BC174" s="1" t="s">
        <v>166</v>
      </c>
      <c r="BD174" s="1">
        <v>0</v>
      </c>
      <c r="BE174" s="1">
        <v>100</v>
      </c>
      <c r="BF174" s="1" t="s">
        <v>167</v>
      </c>
      <c r="BG174" s="1" t="s">
        <v>268</v>
      </c>
      <c r="BH174" s="1" t="s">
        <v>169</v>
      </c>
      <c r="BI174" s="1" t="s">
        <v>169</v>
      </c>
      <c r="BJ174" s="1" t="s">
        <v>208</v>
      </c>
      <c r="BK174" s="1">
        <v>20</v>
      </c>
      <c r="BL174" s="1" t="s">
        <v>1165</v>
      </c>
      <c r="BM174" s="1" t="s">
        <v>271</v>
      </c>
      <c r="BN174" s="1">
        <v>14</v>
      </c>
      <c r="BO174" s="1">
        <v>1</v>
      </c>
      <c r="BP174" s="1" t="s">
        <v>947</v>
      </c>
      <c r="BQ174" s="1" t="s">
        <v>587</v>
      </c>
      <c r="BR174" s="1" t="s">
        <v>2430</v>
      </c>
      <c r="BS174" s="1" t="s">
        <v>2431</v>
      </c>
      <c r="BT174" s="1" t="s">
        <v>172</v>
      </c>
      <c r="BU174" s="1" t="s">
        <v>132</v>
      </c>
      <c r="BV174" s="1" t="s">
        <v>275</v>
      </c>
      <c r="BW174" s="1" t="s">
        <v>134</v>
      </c>
      <c r="BX174" s="1" t="s">
        <v>682</v>
      </c>
      <c r="BY174" s="1" t="s">
        <v>135</v>
      </c>
      <c r="BZ174" s="1" t="s">
        <v>2432</v>
      </c>
      <c r="CA174" s="1">
        <v>2100</v>
      </c>
      <c r="CB174" s="1" t="s">
        <v>176</v>
      </c>
      <c r="CC174" s="1" t="s">
        <v>301</v>
      </c>
      <c r="CD174" s="1" t="s">
        <v>2433</v>
      </c>
      <c r="CE174" s="1" t="s">
        <v>179</v>
      </c>
      <c r="CF174" s="1">
        <v>900000</v>
      </c>
      <c r="CG174" s="1">
        <v>1191000</v>
      </c>
      <c r="CH174" s="1" t="s">
        <v>682</v>
      </c>
      <c r="CI174" s="1" t="s">
        <v>682</v>
      </c>
      <c r="CJ174" s="1" t="s">
        <v>682</v>
      </c>
      <c r="CK174" s="1">
        <v>120000</v>
      </c>
      <c r="CL174" s="1">
        <v>0</v>
      </c>
      <c r="CM174" s="1">
        <v>0</v>
      </c>
      <c r="CN174" s="1">
        <v>0</v>
      </c>
      <c r="CO174" s="1">
        <v>0</v>
      </c>
      <c r="CP174" s="1">
        <v>0</v>
      </c>
      <c r="CQ174" s="1">
        <v>0</v>
      </c>
      <c r="CR174" s="1" t="s">
        <v>139</v>
      </c>
      <c r="CS174" s="1" t="s">
        <v>140</v>
      </c>
      <c r="CT174" s="1" t="s">
        <v>2434</v>
      </c>
      <c r="CV174" s="1" t="s">
        <v>2435</v>
      </c>
      <c r="CW174" s="1" t="s">
        <v>141</v>
      </c>
      <c r="CX174" s="1" t="s">
        <v>2436</v>
      </c>
      <c r="CY174" s="1" t="s">
        <v>276</v>
      </c>
      <c r="CZ174" s="1" t="s">
        <v>144</v>
      </c>
      <c r="DA174" s="1" t="s">
        <v>145</v>
      </c>
    </row>
    <row r="175" spans="1:105" s="3" customFormat="1" ht="11.25" customHeight="1" x14ac:dyDescent="0.2">
      <c r="A175" s="1">
        <v>41</v>
      </c>
      <c r="B175" s="1" t="s">
        <v>2438</v>
      </c>
      <c r="C175" s="1" t="s">
        <v>2437</v>
      </c>
      <c r="D175" s="1">
        <v>3366</v>
      </c>
      <c r="E175" s="2" t="s">
        <v>4201</v>
      </c>
      <c r="F175" s="1" t="s">
        <v>106</v>
      </c>
      <c r="G175" s="1" t="s">
        <v>2439</v>
      </c>
      <c r="H175" s="1" t="s">
        <v>2440</v>
      </c>
      <c r="I175" s="1" t="s">
        <v>109</v>
      </c>
      <c r="J175" s="1" t="s">
        <v>106</v>
      </c>
      <c r="K175" s="1" t="s">
        <v>2441</v>
      </c>
      <c r="L175" s="1" t="s">
        <v>111</v>
      </c>
      <c r="M175" s="1" t="s">
        <v>111</v>
      </c>
      <c r="N175" s="1" t="s">
        <v>112</v>
      </c>
      <c r="O175" s="1" t="s">
        <v>113</v>
      </c>
      <c r="P175" s="1" t="s">
        <v>113</v>
      </c>
      <c r="Q175" s="1" t="s">
        <v>195</v>
      </c>
      <c r="R175" s="1" t="s">
        <v>2442</v>
      </c>
      <c r="S175" s="1" t="s">
        <v>373</v>
      </c>
      <c r="T175" s="1" t="s">
        <v>106</v>
      </c>
      <c r="U175" s="1" t="s">
        <v>2443</v>
      </c>
      <c r="V175" s="1" t="s">
        <v>2444</v>
      </c>
      <c r="W175" s="1" t="s">
        <v>755</v>
      </c>
      <c r="X175" s="1" t="s">
        <v>113</v>
      </c>
      <c r="Y175" s="1" t="s">
        <v>373</v>
      </c>
      <c r="Z175" s="1">
        <v>100</v>
      </c>
      <c r="AA175" s="1" t="s">
        <v>116</v>
      </c>
      <c r="AB175" s="1" t="s">
        <v>128</v>
      </c>
      <c r="AC175" s="1" t="s">
        <v>118</v>
      </c>
      <c r="AD175" s="1">
        <v>20</v>
      </c>
      <c r="AE175" s="1" t="s">
        <v>116</v>
      </c>
      <c r="AF175" s="4">
        <v>803000</v>
      </c>
      <c r="AG175" s="1" t="s">
        <v>113</v>
      </c>
      <c r="AH175" s="1">
        <v>70</v>
      </c>
      <c r="AI175" s="1">
        <v>20</v>
      </c>
      <c r="AJ175" s="1">
        <v>10</v>
      </c>
      <c r="AK175" s="1" t="s">
        <v>758</v>
      </c>
      <c r="AL175" s="4">
        <v>1040000</v>
      </c>
      <c r="AM175" s="1" t="s">
        <v>2445</v>
      </c>
      <c r="AN175" s="1">
        <v>2</v>
      </c>
      <c r="AO175" s="1" t="s">
        <v>113</v>
      </c>
      <c r="AP175" s="1" t="s">
        <v>113</v>
      </c>
      <c r="AQ175" s="1" t="s">
        <v>114</v>
      </c>
      <c r="AR175" s="1" t="s">
        <v>114</v>
      </c>
      <c r="AS175" s="1" t="s">
        <v>114</v>
      </c>
      <c r="AT175" s="1" t="s">
        <v>123</v>
      </c>
      <c r="AU175" s="1" t="s">
        <v>113</v>
      </c>
      <c r="AV175" s="1" t="s">
        <v>113</v>
      </c>
      <c r="AW175" s="1" t="s">
        <v>164</v>
      </c>
      <c r="AX175" s="1" t="s">
        <v>165</v>
      </c>
      <c r="AY175" s="5" t="s">
        <v>1365</v>
      </c>
      <c r="AZ175" s="1" t="s">
        <v>113</v>
      </c>
      <c r="BA175" s="1" t="s">
        <v>113</v>
      </c>
      <c r="BB175" s="1" t="s">
        <v>125</v>
      </c>
      <c r="BC175" s="1" t="s">
        <v>166</v>
      </c>
      <c r="BD175" s="5" t="s">
        <v>1365</v>
      </c>
      <c r="BE175" s="1">
        <v>40</v>
      </c>
      <c r="BF175" s="1" t="s">
        <v>167</v>
      </c>
      <c r="BG175" s="1" t="s">
        <v>383</v>
      </c>
      <c r="BH175" s="1" t="s">
        <v>207</v>
      </c>
      <c r="BI175" s="1" t="s">
        <v>207</v>
      </c>
      <c r="BJ175" s="1" t="s">
        <v>208</v>
      </c>
      <c r="BK175" s="1">
        <v>20</v>
      </c>
      <c r="BL175" s="1" t="s">
        <v>270</v>
      </c>
      <c r="BM175" s="1" t="s">
        <v>210</v>
      </c>
      <c r="BN175" s="1" t="s">
        <v>143</v>
      </c>
      <c r="BO175" s="1">
        <v>2</v>
      </c>
      <c r="BP175" s="1" t="s">
        <v>115</v>
      </c>
      <c r="BQ175" s="1" t="s">
        <v>2446</v>
      </c>
      <c r="BR175" s="1" t="s">
        <v>2447</v>
      </c>
      <c r="BS175" s="1" t="s">
        <v>2448</v>
      </c>
      <c r="BT175" s="1" t="s">
        <v>172</v>
      </c>
      <c r="BU175" s="1" t="s">
        <v>2449</v>
      </c>
      <c r="BV175" s="1" t="s">
        <v>694</v>
      </c>
      <c r="BW175" s="1" t="s">
        <v>134</v>
      </c>
      <c r="BX175" s="1" t="s">
        <v>114</v>
      </c>
      <c r="BY175" s="1" t="s">
        <v>135</v>
      </c>
      <c r="BZ175" s="1" t="s">
        <v>2450</v>
      </c>
      <c r="CA175" s="4">
        <v>800000</v>
      </c>
      <c r="CB175" s="1" t="s">
        <v>137</v>
      </c>
      <c r="CC175" s="1" t="s">
        <v>138</v>
      </c>
      <c r="CD175" s="1" t="s">
        <v>114</v>
      </c>
      <c r="CF175" s="5" t="s">
        <v>1365</v>
      </c>
      <c r="CG175" s="1">
        <v>164221.1</v>
      </c>
      <c r="CH175" s="1" t="s">
        <v>2451</v>
      </c>
      <c r="CI175" s="1" t="s">
        <v>2451</v>
      </c>
      <c r="CJ175" s="1" t="s">
        <v>2451</v>
      </c>
      <c r="CK175" s="1" t="s">
        <v>2451</v>
      </c>
      <c r="CL175" s="5" t="s">
        <v>2272</v>
      </c>
      <c r="CM175" s="5" t="s">
        <v>2272</v>
      </c>
      <c r="CN175" s="5" t="s">
        <v>2272</v>
      </c>
      <c r="CO175" s="5" t="s">
        <v>2272</v>
      </c>
      <c r="CP175" s="5" t="s">
        <v>2272</v>
      </c>
      <c r="CQ175" s="5" t="s">
        <v>2452</v>
      </c>
      <c r="CR175" s="1" t="s">
        <v>139</v>
      </c>
      <c r="CS175" s="1" t="s">
        <v>140</v>
      </c>
      <c r="CT175" s="1" t="s">
        <v>2453</v>
      </c>
      <c r="CU175" s="1" t="s">
        <v>182</v>
      </c>
      <c r="CW175" s="1" t="s">
        <v>141</v>
      </c>
      <c r="CX175" s="1" t="s">
        <v>2454</v>
      </c>
      <c r="CY175" s="1" t="s">
        <v>143</v>
      </c>
      <c r="CZ175" s="1" t="s">
        <v>144</v>
      </c>
      <c r="DA175" s="1" t="s">
        <v>145</v>
      </c>
    </row>
    <row r="176" spans="1:105" s="3" customFormat="1" ht="11.25" customHeight="1" x14ac:dyDescent="0.2">
      <c r="A176" s="3">
        <v>41</v>
      </c>
      <c r="B176" s="3" t="s">
        <v>2455</v>
      </c>
      <c r="C176" s="3" t="s">
        <v>2456</v>
      </c>
      <c r="D176" s="3">
        <v>8095</v>
      </c>
      <c r="E176" s="2" t="s">
        <v>1688</v>
      </c>
      <c r="F176" s="1"/>
      <c r="G176" s="1"/>
      <c r="H176" s="1"/>
      <c r="I176" s="1"/>
      <c r="J176" s="1"/>
      <c r="L176" s="1"/>
      <c r="M176" s="5"/>
      <c r="N176" s="1"/>
      <c r="O176" s="1"/>
      <c r="P176" s="1"/>
      <c r="Q176" s="1"/>
      <c r="R176" s="1"/>
      <c r="S176" s="1"/>
      <c r="T176" s="1"/>
      <c r="U176" s="1"/>
      <c r="V176" s="1"/>
      <c r="W176" s="1"/>
      <c r="X176" s="1"/>
      <c r="Z176" s="1"/>
      <c r="AA176" s="1"/>
      <c r="AB176" s="1"/>
      <c r="AC176" s="1"/>
      <c r="AD176" s="1"/>
      <c r="AE176" s="1"/>
      <c r="AF176" s="1"/>
      <c r="AG176" s="1"/>
      <c r="AH176" s="1"/>
      <c r="AI176" s="1"/>
      <c r="AJ176" s="1"/>
      <c r="AK176" s="1"/>
      <c r="AM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row>
    <row r="177" spans="1:105" s="3" customFormat="1" ht="11.25" customHeight="1" x14ac:dyDescent="0.2">
      <c r="A177" s="1">
        <v>41</v>
      </c>
      <c r="B177" s="1" t="s">
        <v>2458</v>
      </c>
      <c r="C177" s="1" t="s">
        <v>2457</v>
      </c>
      <c r="D177" s="1">
        <v>7898</v>
      </c>
      <c r="E177" s="2" t="s">
        <v>4201</v>
      </c>
      <c r="F177" s="1" t="s">
        <v>113</v>
      </c>
      <c r="G177" s="1" t="s">
        <v>190</v>
      </c>
      <c r="H177" s="1" t="s">
        <v>2457</v>
      </c>
      <c r="I177" s="1" t="s">
        <v>229</v>
      </c>
      <c r="J177" s="1" t="s">
        <v>229</v>
      </c>
      <c r="L177" s="1" t="s">
        <v>111</v>
      </c>
      <c r="M177" s="1" t="s">
        <v>705</v>
      </c>
      <c r="N177" s="1" t="s">
        <v>112</v>
      </c>
      <c r="O177" s="1" t="s">
        <v>113</v>
      </c>
      <c r="P177" s="1" t="s">
        <v>113</v>
      </c>
      <c r="Q177" s="1" t="s">
        <v>195</v>
      </c>
      <c r="R177" s="1" t="s">
        <v>2459</v>
      </c>
      <c r="S177" s="1" t="s">
        <v>157</v>
      </c>
      <c r="T177" s="1" t="s">
        <v>106</v>
      </c>
      <c r="U177" s="1" t="s">
        <v>2460</v>
      </c>
      <c r="V177" s="1" t="s">
        <v>2444</v>
      </c>
      <c r="W177" s="1" t="s">
        <v>199</v>
      </c>
      <c r="X177" s="1" t="s">
        <v>113</v>
      </c>
      <c r="Y177" s="1" t="s">
        <v>157</v>
      </c>
      <c r="Z177" s="1">
        <v>100</v>
      </c>
      <c r="AA177" s="1" t="s">
        <v>116</v>
      </c>
      <c r="AB177" s="1" t="s">
        <v>128</v>
      </c>
      <c r="AC177" s="1" t="s">
        <v>128</v>
      </c>
      <c r="AD177" s="1">
        <v>30</v>
      </c>
      <c r="AE177" s="1" t="s">
        <v>116</v>
      </c>
      <c r="AF177" s="1">
        <v>2580</v>
      </c>
      <c r="AG177" s="1" t="s">
        <v>113</v>
      </c>
      <c r="AH177" s="1">
        <v>50</v>
      </c>
      <c r="AI177" s="1">
        <v>40</v>
      </c>
      <c r="AJ177" s="1">
        <v>50</v>
      </c>
      <c r="AK177" s="1" t="s">
        <v>408</v>
      </c>
      <c r="AL177" s="1">
        <v>3000</v>
      </c>
      <c r="AM177" s="1" t="s">
        <v>131</v>
      </c>
      <c r="AN177" s="1">
        <v>3000</v>
      </c>
      <c r="AO177" s="1" t="s">
        <v>113</v>
      </c>
      <c r="AP177" s="1" t="s">
        <v>113</v>
      </c>
      <c r="AQ177" s="1" t="s">
        <v>157</v>
      </c>
      <c r="AR177" s="1" t="s">
        <v>157</v>
      </c>
      <c r="AS177" s="1" t="s">
        <v>157</v>
      </c>
      <c r="AT177" s="1" t="s">
        <v>123</v>
      </c>
      <c r="AU177" s="1" t="s">
        <v>113</v>
      </c>
      <c r="AV177" s="1" t="s">
        <v>106</v>
      </c>
      <c r="AW177" s="1" t="s">
        <v>164</v>
      </c>
      <c r="AX177" s="1" t="s">
        <v>165</v>
      </c>
      <c r="AY177" s="1">
        <v>0</v>
      </c>
      <c r="AZ177" s="1" t="s">
        <v>106</v>
      </c>
      <c r="BA177" s="1" t="s">
        <v>113</v>
      </c>
      <c r="BB177" s="1" t="s">
        <v>125</v>
      </c>
      <c r="BC177" s="1" t="s">
        <v>166</v>
      </c>
      <c r="BD177" s="1">
        <v>0</v>
      </c>
      <c r="BE177" s="1">
        <v>100</v>
      </c>
      <c r="BF177" s="1" t="s">
        <v>167</v>
      </c>
      <c r="BG177" s="1" t="s">
        <v>116</v>
      </c>
      <c r="BH177" s="1" t="s">
        <v>569</v>
      </c>
      <c r="BI177" s="1" t="s">
        <v>569</v>
      </c>
      <c r="BJ177" s="1" t="s">
        <v>208</v>
      </c>
      <c r="BK177" s="1">
        <v>20</v>
      </c>
      <c r="BL177" s="1" t="s">
        <v>167</v>
      </c>
      <c r="BM177" s="1" t="s">
        <v>210</v>
      </c>
      <c r="BN177" s="1" t="s">
        <v>276</v>
      </c>
      <c r="BO177" s="1">
        <v>10</v>
      </c>
      <c r="BP177" s="1" t="s">
        <v>124</v>
      </c>
      <c r="BQ177" s="1" t="s">
        <v>2461</v>
      </c>
      <c r="BR177" s="1" t="s">
        <v>2462</v>
      </c>
      <c r="BS177" s="1" t="s">
        <v>2463</v>
      </c>
      <c r="BT177" s="1" t="s">
        <v>172</v>
      </c>
      <c r="BU177" s="1" t="s">
        <v>239</v>
      </c>
      <c r="BV177" s="1" t="s">
        <v>2256</v>
      </c>
      <c r="BW177" s="1" t="s">
        <v>298</v>
      </c>
      <c r="BX177" s="1" t="s">
        <v>325</v>
      </c>
      <c r="BY177" s="1" t="s">
        <v>299</v>
      </c>
      <c r="BZ177" s="1" t="s">
        <v>2464</v>
      </c>
      <c r="CA177" s="1">
        <v>25000</v>
      </c>
      <c r="CB177" s="1" t="s">
        <v>244</v>
      </c>
      <c r="CC177" s="1" t="s">
        <v>217</v>
      </c>
      <c r="CD177" s="1" t="s">
        <v>2465</v>
      </c>
      <c r="CE177" s="1" t="s">
        <v>219</v>
      </c>
      <c r="CF177" s="6">
        <v>130712.07</v>
      </c>
      <c r="CG177" s="6">
        <v>46992.5</v>
      </c>
      <c r="CH177" s="1">
        <v>0</v>
      </c>
      <c r="CI177" s="1">
        <v>0</v>
      </c>
      <c r="CJ177" s="1">
        <v>0</v>
      </c>
      <c r="CK177" s="1">
        <v>0</v>
      </c>
      <c r="CL177" s="1">
        <v>0</v>
      </c>
      <c r="CM177" s="1">
        <v>0</v>
      </c>
      <c r="CN177" s="1">
        <v>0</v>
      </c>
      <c r="CO177" s="1">
        <v>0</v>
      </c>
      <c r="CP177" s="1">
        <v>0</v>
      </c>
      <c r="CQ177" s="1">
        <v>0</v>
      </c>
      <c r="CR177" s="1" t="s">
        <v>139</v>
      </c>
      <c r="CS177" s="1" t="s">
        <v>308</v>
      </c>
      <c r="CT177" s="1" t="s">
        <v>2466</v>
      </c>
      <c r="CW177" s="1" t="s">
        <v>251</v>
      </c>
      <c r="CX177" s="1" t="s">
        <v>157</v>
      </c>
      <c r="CY177" s="1" t="s">
        <v>143</v>
      </c>
      <c r="CZ177" s="1" t="s">
        <v>144</v>
      </c>
      <c r="DA177" s="1" t="s">
        <v>145</v>
      </c>
    </row>
    <row r="178" spans="1:105" s="3" customFormat="1" ht="11.25" customHeight="1" x14ac:dyDescent="0.2">
      <c r="A178" s="1">
        <v>41</v>
      </c>
      <c r="B178" s="1" t="s">
        <v>2468</v>
      </c>
      <c r="C178" s="1" t="s">
        <v>2467</v>
      </c>
      <c r="D178" s="1">
        <v>6795</v>
      </c>
      <c r="E178" s="2" t="s">
        <v>4201</v>
      </c>
      <c r="F178" s="1" t="s">
        <v>106</v>
      </c>
      <c r="G178" s="1" t="s">
        <v>398</v>
      </c>
      <c r="H178" s="1" t="s">
        <v>2469</v>
      </c>
      <c r="I178" s="1" t="s">
        <v>2470</v>
      </c>
      <c r="J178" s="1" t="s">
        <v>113</v>
      </c>
      <c r="K178" s="1" t="s">
        <v>2471</v>
      </c>
      <c r="L178" s="1" t="s">
        <v>111</v>
      </c>
      <c r="M178" s="1" t="s">
        <v>2472</v>
      </c>
      <c r="N178" s="1" t="s">
        <v>112</v>
      </c>
      <c r="O178" s="1" t="s">
        <v>106</v>
      </c>
      <c r="P178" s="1" t="s">
        <v>113</v>
      </c>
      <c r="Q178" s="1" t="s">
        <v>195</v>
      </c>
      <c r="R178" s="1" t="s">
        <v>2473</v>
      </c>
      <c r="S178" s="1" t="s">
        <v>127</v>
      </c>
      <c r="T178" s="1" t="s">
        <v>106</v>
      </c>
      <c r="U178" s="1" t="s">
        <v>2474</v>
      </c>
      <c r="V178" s="1" t="s">
        <v>1818</v>
      </c>
      <c r="W178" s="1" t="s">
        <v>755</v>
      </c>
      <c r="X178" s="1" t="s">
        <v>113</v>
      </c>
      <c r="Y178" s="1" t="s">
        <v>127</v>
      </c>
      <c r="Z178" s="1">
        <v>100</v>
      </c>
      <c r="AA178" s="1" t="s">
        <v>2475</v>
      </c>
      <c r="AB178" s="1" t="s">
        <v>128</v>
      </c>
      <c r="AC178" s="1" t="s">
        <v>128</v>
      </c>
      <c r="AD178" s="1">
        <v>70</v>
      </c>
      <c r="AE178" s="1" t="s">
        <v>2475</v>
      </c>
      <c r="AF178" s="1">
        <v>1038</v>
      </c>
      <c r="AG178" s="1" t="s">
        <v>113</v>
      </c>
      <c r="AH178" s="1">
        <v>60</v>
      </c>
      <c r="AI178" s="1">
        <v>20</v>
      </c>
      <c r="AJ178" s="1">
        <v>20</v>
      </c>
      <c r="AK178" s="1" t="s">
        <v>318</v>
      </c>
      <c r="AL178" s="1">
        <v>500</v>
      </c>
      <c r="AM178" s="1" t="s">
        <v>120</v>
      </c>
      <c r="AN178" s="1">
        <v>100</v>
      </c>
      <c r="AO178" s="1" t="s">
        <v>113</v>
      </c>
      <c r="AP178" s="1" t="s">
        <v>113</v>
      </c>
      <c r="AQ178" s="1" t="s">
        <v>127</v>
      </c>
      <c r="AR178" s="1" t="s">
        <v>127</v>
      </c>
      <c r="AS178" s="1" t="s">
        <v>127</v>
      </c>
      <c r="AT178" s="1" t="s">
        <v>489</v>
      </c>
      <c r="AU178" s="1" t="s">
        <v>106</v>
      </c>
      <c r="AV178" s="1" t="s">
        <v>106</v>
      </c>
      <c r="AW178" s="1" t="s">
        <v>164</v>
      </c>
      <c r="AX178" s="1" t="s">
        <v>165</v>
      </c>
      <c r="AY178" s="1">
        <v>300</v>
      </c>
      <c r="AZ178" s="1" t="s">
        <v>113</v>
      </c>
      <c r="BA178" s="1" t="s">
        <v>113</v>
      </c>
      <c r="BB178" s="1" t="s">
        <v>125</v>
      </c>
      <c r="BC178" s="1" t="s">
        <v>166</v>
      </c>
      <c r="BD178" s="1">
        <v>0</v>
      </c>
      <c r="BE178" s="1">
        <v>100</v>
      </c>
      <c r="BF178" s="1" t="s">
        <v>630</v>
      </c>
      <c r="BG178" s="1" t="s">
        <v>268</v>
      </c>
      <c r="BH178" s="1" t="s">
        <v>169</v>
      </c>
      <c r="BI178" s="1" t="s">
        <v>169</v>
      </c>
      <c r="BJ178" s="1" t="s">
        <v>384</v>
      </c>
      <c r="BK178" s="1">
        <v>100</v>
      </c>
      <c r="BL178" s="1" t="s">
        <v>2476</v>
      </c>
      <c r="BM178" s="1" t="s">
        <v>271</v>
      </c>
      <c r="BN178" s="1" t="s">
        <v>143</v>
      </c>
      <c r="BO178" s="1">
        <v>14</v>
      </c>
      <c r="BP178" s="1" t="s">
        <v>124</v>
      </c>
      <c r="BQ178" s="1" t="s">
        <v>2469</v>
      </c>
      <c r="BR178" s="1" t="s">
        <v>2477</v>
      </c>
      <c r="BS178" s="1" t="s">
        <v>2478</v>
      </c>
      <c r="BT178" s="1" t="s">
        <v>172</v>
      </c>
      <c r="BU178" s="1" t="s">
        <v>2479</v>
      </c>
      <c r="BV178" s="1" t="s">
        <v>2480</v>
      </c>
      <c r="BW178" s="1" t="s">
        <v>298</v>
      </c>
      <c r="BX178" s="1" t="s">
        <v>325</v>
      </c>
      <c r="BY178" s="1" t="s">
        <v>299</v>
      </c>
      <c r="BZ178" s="1" t="s">
        <v>2481</v>
      </c>
      <c r="CA178" s="1">
        <v>1038</v>
      </c>
      <c r="CB178" s="1" t="s">
        <v>176</v>
      </c>
      <c r="CC178" s="1" t="s">
        <v>177</v>
      </c>
      <c r="CD178" s="1" t="s">
        <v>2482</v>
      </c>
      <c r="CE178" s="1" t="s">
        <v>179</v>
      </c>
      <c r="CF178" s="1">
        <v>249818</v>
      </c>
      <c r="CG178" s="1">
        <v>493515</v>
      </c>
      <c r="CH178" s="1">
        <v>0</v>
      </c>
      <c r="CI178" s="1">
        <v>0</v>
      </c>
      <c r="CJ178" s="1">
        <v>21600</v>
      </c>
      <c r="CK178" s="1">
        <v>144000</v>
      </c>
      <c r="CL178" s="1">
        <v>50000</v>
      </c>
      <c r="CM178" s="1">
        <v>0</v>
      </c>
      <c r="CN178" s="1">
        <v>24000</v>
      </c>
      <c r="CO178" s="1">
        <v>0</v>
      </c>
      <c r="CP178" s="1">
        <v>0</v>
      </c>
      <c r="CQ178" s="1">
        <v>0</v>
      </c>
      <c r="CR178" s="1" t="s">
        <v>418</v>
      </c>
      <c r="CS178" s="1" t="s">
        <v>140</v>
      </c>
      <c r="CT178" s="1" t="s">
        <v>223</v>
      </c>
      <c r="CU178" s="1" t="s">
        <v>617</v>
      </c>
      <c r="CV178" s="1" t="s">
        <v>2483</v>
      </c>
      <c r="CW178" s="1" t="s">
        <v>251</v>
      </c>
      <c r="CX178" s="1" t="s">
        <v>127</v>
      </c>
      <c r="CY178" s="1" t="s">
        <v>143</v>
      </c>
      <c r="CZ178" s="1" t="s">
        <v>144</v>
      </c>
      <c r="DA178" s="1" t="s">
        <v>145</v>
      </c>
    </row>
    <row r="179" spans="1:105" s="3" customFormat="1" ht="11.25" customHeight="1" x14ac:dyDescent="0.2">
      <c r="A179" s="1">
        <v>41</v>
      </c>
      <c r="B179" s="1" t="s">
        <v>2485</v>
      </c>
      <c r="C179" s="1" t="s">
        <v>2484</v>
      </c>
      <c r="D179" s="1">
        <v>45857</v>
      </c>
      <c r="E179" s="2" t="s">
        <v>4201</v>
      </c>
      <c r="F179" s="1" t="s">
        <v>106</v>
      </c>
      <c r="G179" s="1" t="s">
        <v>398</v>
      </c>
      <c r="H179" s="1" t="s">
        <v>2469</v>
      </c>
      <c r="I179" s="1" t="s">
        <v>2486</v>
      </c>
      <c r="J179" s="1" t="s">
        <v>113</v>
      </c>
      <c r="L179" s="1" t="s">
        <v>111</v>
      </c>
      <c r="M179" s="1" t="s">
        <v>230</v>
      </c>
      <c r="N179" s="1" t="s">
        <v>112</v>
      </c>
      <c r="O179" s="1" t="s">
        <v>106</v>
      </c>
      <c r="P179" s="1" t="s">
        <v>113</v>
      </c>
      <c r="Q179" s="1" t="s">
        <v>195</v>
      </c>
      <c r="R179" s="1" t="s">
        <v>2487</v>
      </c>
      <c r="S179" s="1" t="s">
        <v>157</v>
      </c>
      <c r="T179" s="1" t="s">
        <v>106</v>
      </c>
      <c r="U179" s="1" t="s">
        <v>2487</v>
      </c>
      <c r="V179" s="1" t="s">
        <v>2488</v>
      </c>
      <c r="W179" s="1" t="s">
        <v>115</v>
      </c>
      <c r="X179" s="1" t="s">
        <v>113</v>
      </c>
      <c r="Y179" s="1" t="s">
        <v>157</v>
      </c>
      <c r="Z179" s="1">
        <v>100</v>
      </c>
      <c r="AA179" s="1" t="s">
        <v>132</v>
      </c>
      <c r="AB179" s="1" t="s">
        <v>117</v>
      </c>
      <c r="AC179" s="1" t="s">
        <v>118</v>
      </c>
      <c r="AD179" s="1">
        <v>10</v>
      </c>
      <c r="AE179" s="1" t="s">
        <v>132</v>
      </c>
      <c r="AF179" s="4">
        <v>6615</v>
      </c>
      <c r="AG179" s="1" t="s">
        <v>106</v>
      </c>
      <c r="AH179" s="1">
        <v>39</v>
      </c>
      <c r="AI179" s="1">
        <v>38</v>
      </c>
      <c r="AJ179" s="1">
        <v>23</v>
      </c>
      <c r="AK179" s="1" t="s">
        <v>626</v>
      </c>
      <c r="AM179" s="1" t="s">
        <v>2489</v>
      </c>
      <c r="AO179" s="1" t="s">
        <v>113</v>
      </c>
      <c r="AP179" s="1" t="s">
        <v>113</v>
      </c>
      <c r="AQ179" s="1" t="s">
        <v>157</v>
      </c>
      <c r="AR179" s="1" t="s">
        <v>157</v>
      </c>
      <c r="AS179" s="1" t="s">
        <v>157</v>
      </c>
      <c r="AT179" s="1" t="s">
        <v>628</v>
      </c>
      <c r="AU179" s="1" t="s">
        <v>113</v>
      </c>
      <c r="AV179" s="1" t="s">
        <v>113</v>
      </c>
      <c r="AW179" s="1" t="s">
        <v>164</v>
      </c>
      <c r="AY179" s="1">
        <v>0</v>
      </c>
      <c r="AZ179" s="1" t="s">
        <v>113</v>
      </c>
      <c r="BA179" s="1" t="s">
        <v>113</v>
      </c>
      <c r="BB179" s="1" t="s">
        <v>125</v>
      </c>
      <c r="BD179" s="1">
        <v>0</v>
      </c>
      <c r="BE179" s="1">
        <v>100</v>
      </c>
      <c r="BF179" s="1" t="s">
        <v>1165</v>
      </c>
      <c r="BG179" s="1" t="s">
        <v>132</v>
      </c>
      <c r="BI179" s="1" t="s">
        <v>569</v>
      </c>
      <c r="BJ179" s="1" t="s">
        <v>208</v>
      </c>
      <c r="BK179" s="1">
        <v>70</v>
      </c>
      <c r="BL179" s="1" t="s">
        <v>270</v>
      </c>
      <c r="BM179" s="1" t="s">
        <v>210</v>
      </c>
      <c r="BN179" s="1">
        <v>55</v>
      </c>
      <c r="BP179" s="1" t="s">
        <v>124</v>
      </c>
      <c r="BQ179" s="1" t="s">
        <v>2484</v>
      </c>
      <c r="BR179" s="1" t="s">
        <v>2490</v>
      </c>
      <c r="BS179" s="1" t="s">
        <v>2491</v>
      </c>
      <c r="BT179" s="1" t="s">
        <v>172</v>
      </c>
      <c r="BU179" s="1" t="s">
        <v>132</v>
      </c>
      <c r="BV179" s="1" t="s">
        <v>275</v>
      </c>
      <c r="BW179" s="1" t="s">
        <v>134</v>
      </c>
      <c r="BX179" s="1" t="s">
        <v>175</v>
      </c>
      <c r="BY179" s="1" t="s">
        <v>135</v>
      </c>
      <c r="BZ179" s="1" t="s">
        <v>2492</v>
      </c>
      <c r="CA179" s="4">
        <v>6615</v>
      </c>
      <c r="CB179" s="1" t="s">
        <v>137</v>
      </c>
      <c r="CC179" s="1" t="s">
        <v>138</v>
      </c>
      <c r="CF179" s="1">
        <v>0</v>
      </c>
      <c r="CG179" s="1">
        <v>4927834</v>
      </c>
      <c r="CH179" s="1">
        <v>0</v>
      </c>
      <c r="CI179" s="1">
        <v>0</v>
      </c>
      <c r="CJ179" s="1">
        <v>0</v>
      </c>
      <c r="CK179" s="1">
        <v>0</v>
      </c>
      <c r="CL179" s="1">
        <v>0</v>
      </c>
      <c r="CM179" s="1">
        <v>0</v>
      </c>
      <c r="CN179" s="1">
        <v>0</v>
      </c>
      <c r="CO179" s="1">
        <v>0</v>
      </c>
      <c r="CP179" s="1">
        <v>0</v>
      </c>
      <c r="CQ179" s="1">
        <v>0</v>
      </c>
      <c r="CR179" s="1" t="s">
        <v>139</v>
      </c>
      <c r="CS179" s="1" t="s">
        <v>140</v>
      </c>
      <c r="CT179" s="1" t="s">
        <v>2493</v>
      </c>
      <c r="CW179" s="1" t="s">
        <v>184</v>
      </c>
      <c r="CX179" s="1" t="s">
        <v>2494</v>
      </c>
      <c r="CY179" s="1" t="s">
        <v>143</v>
      </c>
    </row>
    <row r="180" spans="1:105" s="3" customFormat="1" ht="11.25" customHeight="1" x14ac:dyDescent="0.2">
      <c r="A180" s="1">
        <v>41</v>
      </c>
      <c r="B180" s="1" t="s">
        <v>2496</v>
      </c>
      <c r="C180" s="1" t="s">
        <v>2495</v>
      </c>
      <c r="D180" s="1">
        <v>5575</v>
      </c>
      <c r="E180" s="2" t="s">
        <v>4201</v>
      </c>
      <c r="F180" s="1" t="s">
        <v>113</v>
      </c>
      <c r="G180" s="1" t="s">
        <v>190</v>
      </c>
      <c r="H180" s="1" t="s">
        <v>856</v>
      </c>
      <c r="I180" s="1" t="s">
        <v>229</v>
      </c>
      <c r="J180" s="1" t="s">
        <v>113</v>
      </c>
      <c r="L180" s="1" t="s">
        <v>111</v>
      </c>
      <c r="M180" s="1" t="s">
        <v>111</v>
      </c>
      <c r="N180" s="1" t="s">
        <v>2020</v>
      </c>
      <c r="O180" s="1" t="s">
        <v>113</v>
      </c>
      <c r="P180" s="1" t="s">
        <v>113</v>
      </c>
      <c r="Q180" s="1" t="s">
        <v>1298</v>
      </c>
      <c r="R180" s="1" t="s">
        <v>373</v>
      </c>
      <c r="S180" s="1" t="s">
        <v>373</v>
      </c>
      <c r="T180" s="1" t="s">
        <v>113</v>
      </c>
      <c r="U180" s="1" t="s">
        <v>114</v>
      </c>
      <c r="V180" s="1" t="s">
        <v>2497</v>
      </c>
      <c r="W180" s="1" t="s">
        <v>115</v>
      </c>
      <c r="X180" s="1" t="s">
        <v>113</v>
      </c>
      <c r="Y180" s="1" t="s">
        <v>373</v>
      </c>
      <c r="Z180" s="1">
        <v>100</v>
      </c>
      <c r="AA180" s="1" t="s">
        <v>116</v>
      </c>
      <c r="AB180" s="1" t="s">
        <v>128</v>
      </c>
      <c r="AC180" s="1" t="s">
        <v>118</v>
      </c>
      <c r="AD180" s="1">
        <v>10</v>
      </c>
      <c r="AE180" s="1" t="s">
        <v>116</v>
      </c>
      <c r="AF180" s="1">
        <v>647</v>
      </c>
      <c r="AG180" s="1" t="s">
        <v>113</v>
      </c>
      <c r="AH180" s="1">
        <v>65</v>
      </c>
      <c r="AI180" s="1">
        <v>25</v>
      </c>
      <c r="AJ180" s="1">
        <v>0</v>
      </c>
      <c r="AK180" s="1" t="s">
        <v>408</v>
      </c>
      <c r="AL180" s="1">
        <v>2912</v>
      </c>
      <c r="AM180" s="1" t="s">
        <v>120</v>
      </c>
      <c r="AN180" s="1">
        <v>2912</v>
      </c>
      <c r="AO180" s="1" t="s">
        <v>113</v>
      </c>
      <c r="AP180" s="1" t="s">
        <v>113</v>
      </c>
      <c r="AQ180" s="1" t="s">
        <v>114</v>
      </c>
      <c r="AR180" s="1" t="s">
        <v>114</v>
      </c>
      <c r="AS180" s="1" t="s">
        <v>114</v>
      </c>
      <c r="AT180" s="1" t="s">
        <v>123</v>
      </c>
      <c r="AU180" s="1" t="s">
        <v>113</v>
      </c>
      <c r="AV180" s="1" t="s">
        <v>113</v>
      </c>
      <c r="AW180" s="1" t="s">
        <v>164</v>
      </c>
      <c r="AX180" s="1" t="s">
        <v>165</v>
      </c>
      <c r="AY180" s="1">
        <v>2000</v>
      </c>
      <c r="AZ180" s="1" t="s">
        <v>113</v>
      </c>
      <c r="BA180" s="1" t="s">
        <v>113</v>
      </c>
      <c r="BB180" s="1" t="s">
        <v>125</v>
      </c>
      <c r="BC180" s="1" t="s">
        <v>166</v>
      </c>
      <c r="BD180" s="1">
        <v>0</v>
      </c>
      <c r="BE180" s="1">
        <v>100</v>
      </c>
      <c r="BF180" s="1" t="s">
        <v>167</v>
      </c>
      <c r="BG180" s="1" t="s">
        <v>116</v>
      </c>
      <c r="BH180" s="1" t="s">
        <v>207</v>
      </c>
      <c r="BI180" s="1" t="s">
        <v>168</v>
      </c>
      <c r="BJ180" s="1" t="s">
        <v>208</v>
      </c>
      <c r="BK180" s="1">
        <v>10</v>
      </c>
      <c r="BL180" s="1" t="s">
        <v>167</v>
      </c>
      <c r="BM180" s="1" t="s">
        <v>210</v>
      </c>
      <c r="BN180" s="1" t="s">
        <v>143</v>
      </c>
      <c r="BO180" s="1">
        <v>0</v>
      </c>
      <c r="BP180" s="1" t="s">
        <v>124</v>
      </c>
      <c r="BQ180" s="1" t="s">
        <v>106</v>
      </c>
      <c r="BR180" s="1" t="s">
        <v>2498</v>
      </c>
      <c r="BS180" s="1" t="s">
        <v>2499</v>
      </c>
      <c r="BT180" s="1" t="s">
        <v>172</v>
      </c>
      <c r="BU180" s="1" t="s">
        <v>239</v>
      </c>
      <c r="BV180" s="1" t="s">
        <v>2500</v>
      </c>
      <c r="BW180" s="1" t="s">
        <v>766</v>
      </c>
      <c r="BX180" s="1" t="s">
        <v>325</v>
      </c>
      <c r="BY180" s="1" t="s">
        <v>241</v>
      </c>
      <c r="BZ180" s="1" t="s">
        <v>157</v>
      </c>
      <c r="CA180" s="1">
        <v>647</v>
      </c>
      <c r="CB180" s="1" t="s">
        <v>137</v>
      </c>
      <c r="CC180" s="1" t="s">
        <v>138</v>
      </c>
      <c r="CD180" s="1" t="s">
        <v>175</v>
      </c>
      <c r="CE180" s="1" t="s">
        <v>179</v>
      </c>
      <c r="CF180" s="1" t="s">
        <v>157</v>
      </c>
      <c r="CG180" s="1" t="s">
        <v>157</v>
      </c>
      <c r="CH180" s="1">
        <v>150</v>
      </c>
      <c r="CI180" s="1">
        <v>50</v>
      </c>
      <c r="CJ180" s="1">
        <v>150</v>
      </c>
      <c r="CK180" s="1">
        <v>20</v>
      </c>
      <c r="CL180" s="1">
        <v>0</v>
      </c>
      <c r="CM180" s="1">
        <v>0</v>
      </c>
      <c r="CN180" s="1">
        <v>15</v>
      </c>
      <c r="CO180" s="1">
        <v>0</v>
      </c>
      <c r="CP180" s="1">
        <v>0</v>
      </c>
      <c r="CQ180" s="1">
        <v>0</v>
      </c>
      <c r="CR180" s="1" t="s">
        <v>139</v>
      </c>
      <c r="CS180" s="1" t="s">
        <v>140</v>
      </c>
      <c r="CT180" s="1" t="s">
        <v>2501</v>
      </c>
      <c r="CV180" s="1" t="s">
        <v>698</v>
      </c>
      <c r="CW180" s="1" t="s">
        <v>251</v>
      </c>
      <c r="CX180" s="1" t="s">
        <v>114</v>
      </c>
      <c r="CY180" s="1" t="s">
        <v>276</v>
      </c>
      <c r="CZ180" s="1" t="s">
        <v>144</v>
      </c>
      <c r="DA180" s="1" t="s">
        <v>145</v>
      </c>
    </row>
    <row r="181" spans="1:105" s="3" customFormat="1" ht="11.25" customHeight="1" x14ac:dyDescent="0.2">
      <c r="A181" s="1">
        <v>41</v>
      </c>
      <c r="B181" s="1" t="s">
        <v>2502</v>
      </c>
      <c r="C181" s="1" t="s">
        <v>2441</v>
      </c>
      <c r="D181" s="1">
        <v>8357</v>
      </c>
      <c r="E181" s="2" t="s">
        <v>1688</v>
      </c>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4"/>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4"/>
      <c r="CB181" s="1"/>
      <c r="CC181" s="1"/>
      <c r="CD181" s="1"/>
      <c r="CE181" s="1"/>
      <c r="CF181" s="1"/>
      <c r="CG181" s="1"/>
      <c r="CH181" s="1"/>
      <c r="CI181" s="1"/>
      <c r="CJ181" s="1"/>
      <c r="CK181" s="1"/>
      <c r="CL181" s="1"/>
      <c r="CM181" s="1"/>
      <c r="CN181" s="1"/>
      <c r="CO181" s="1"/>
      <c r="CP181" s="1"/>
      <c r="CQ181" s="1"/>
      <c r="CR181" s="1"/>
      <c r="CS181" s="1"/>
      <c r="CT181" s="1"/>
      <c r="CV181" s="1"/>
      <c r="CW181" s="1"/>
      <c r="CX181" s="1"/>
      <c r="CY181" s="1"/>
      <c r="CZ181" s="1"/>
      <c r="DA181" s="1"/>
    </row>
    <row r="182" spans="1:105" s="3" customFormat="1" ht="11.25" customHeight="1" x14ac:dyDescent="0.2">
      <c r="A182" s="1">
        <v>41</v>
      </c>
      <c r="B182" s="1" t="s">
        <v>2503</v>
      </c>
      <c r="C182" s="1" t="s">
        <v>2504</v>
      </c>
      <c r="D182" s="1">
        <v>8442</v>
      </c>
      <c r="E182" s="2" t="s">
        <v>1688</v>
      </c>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row>
    <row r="183" spans="1:105" s="3" customFormat="1" ht="11.25" customHeight="1" x14ac:dyDescent="0.2">
      <c r="A183" s="1">
        <v>41</v>
      </c>
      <c r="B183" s="1" t="s">
        <v>2506</v>
      </c>
      <c r="C183" s="1" t="s">
        <v>2505</v>
      </c>
      <c r="D183" s="1">
        <v>33103</v>
      </c>
      <c r="E183" s="2" t="s">
        <v>4201</v>
      </c>
      <c r="F183" s="1" t="s">
        <v>113</v>
      </c>
      <c r="G183" s="1" t="s">
        <v>190</v>
      </c>
      <c r="H183" s="1" t="s">
        <v>2507</v>
      </c>
      <c r="I183" s="1" t="s">
        <v>229</v>
      </c>
      <c r="J183" s="1" t="s">
        <v>229</v>
      </c>
      <c r="K183" s="1" t="s">
        <v>2508</v>
      </c>
      <c r="L183" s="1" t="s">
        <v>111</v>
      </c>
      <c r="M183" s="1" t="s">
        <v>230</v>
      </c>
      <c r="N183" s="1" t="s">
        <v>151</v>
      </c>
      <c r="O183" s="1" t="s">
        <v>113</v>
      </c>
      <c r="P183" s="1" t="s">
        <v>113</v>
      </c>
      <c r="Q183" s="1" t="s">
        <v>111</v>
      </c>
      <c r="R183" s="1" t="s">
        <v>127</v>
      </c>
      <c r="S183" s="1" t="s">
        <v>127</v>
      </c>
      <c r="T183" s="1" t="s">
        <v>106</v>
      </c>
      <c r="U183" s="1" t="s">
        <v>2509</v>
      </c>
      <c r="V183" s="1" t="s">
        <v>2510</v>
      </c>
      <c r="W183" s="1" t="s">
        <v>755</v>
      </c>
      <c r="X183" s="1" t="s">
        <v>113</v>
      </c>
      <c r="Y183" s="1" t="s">
        <v>127</v>
      </c>
      <c r="Z183" s="1">
        <v>75</v>
      </c>
      <c r="AA183" s="1" t="s">
        <v>132</v>
      </c>
      <c r="AB183" s="1" t="s">
        <v>128</v>
      </c>
      <c r="AC183" s="1" t="s">
        <v>118</v>
      </c>
      <c r="AD183" s="5" t="s">
        <v>2511</v>
      </c>
      <c r="AE183" s="1" t="s">
        <v>116</v>
      </c>
      <c r="AF183" s="1">
        <v>6480</v>
      </c>
      <c r="AG183" s="1" t="s">
        <v>106</v>
      </c>
      <c r="AH183" s="1">
        <v>34</v>
      </c>
      <c r="AI183" s="1">
        <v>63</v>
      </c>
      <c r="AJ183" s="1">
        <v>16</v>
      </c>
      <c r="AK183" s="1" t="s">
        <v>232</v>
      </c>
      <c r="AL183" s="1">
        <v>0</v>
      </c>
      <c r="AM183" s="1" t="s">
        <v>2512</v>
      </c>
      <c r="AN183" s="1">
        <v>0</v>
      </c>
      <c r="AO183" s="1" t="s">
        <v>113</v>
      </c>
      <c r="AP183" s="1" t="s">
        <v>113</v>
      </c>
      <c r="AQ183" s="1" t="s">
        <v>127</v>
      </c>
      <c r="AR183" s="1" t="s">
        <v>127</v>
      </c>
      <c r="AS183" s="1" t="s">
        <v>127</v>
      </c>
      <c r="AT183" s="1" t="s">
        <v>123</v>
      </c>
      <c r="AU183" s="1" t="s">
        <v>113</v>
      </c>
      <c r="AV183" s="1" t="s">
        <v>113</v>
      </c>
      <c r="AW183" s="1" t="s">
        <v>164</v>
      </c>
      <c r="AX183" s="1" t="s">
        <v>165</v>
      </c>
      <c r="AY183" s="1">
        <v>0</v>
      </c>
      <c r="AZ183" s="1" t="s">
        <v>113</v>
      </c>
      <c r="BA183" s="1" t="s">
        <v>113</v>
      </c>
      <c r="BB183" s="1" t="s">
        <v>125</v>
      </c>
      <c r="BC183" s="1" t="s">
        <v>166</v>
      </c>
      <c r="BD183" s="1">
        <v>0</v>
      </c>
      <c r="BE183" s="1">
        <v>75</v>
      </c>
      <c r="BF183" s="1" t="s">
        <v>167</v>
      </c>
      <c r="BG183" s="1" t="s">
        <v>268</v>
      </c>
      <c r="BH183" s="1" t="s">
        <v>169</v>
      </c>
      <c r="BI183" s="1" t="s">
        <v>169</v>
      </c>
      <c r="BJ183" s="1" t="s">
        <v>208</v>
      </c>
      <c r="BK183" s="1">
        <v>5</v>
      </c>
      <c r="BL183" s="1" t="s">
        <v>270</v>
      </c>
      <c r="BM183" s="1" t="s">
        <v>210</v>
      </c>
      <c r="BN183" s="1">
        <v>12</v>
      </c>
      <c r="BO183" s="1">
        <v>5</v>
      </c>
      <c r="BP183" s="1" t="s">
        <v>124</v>
      </c>
      <c r="BQ183" s="1" t="s">
        <v>2513</v>
      </c>
      <c r="BR183" s="1" t="s">
        <v>2514</v>
      </c>
      <c r="BS183" s="1" t="s">
        <v>2515</v>
      </c>
      <c r="BT183" s="1" t="s">
        <v>172</v>
      </c>
      <c r="BU183" s="1" t="s">
        <v>132</v>
      </c>
      <c r="BV183" s="1" t="s">
        <v>2516</v>
      </c>
      <c r="BW183" s="1" t="s">
        <v>127</v>
      </c>
      <c r="BX183" s="1" t="s">
        <v>137</v>
      </c>
      <c r="BY183" s="1" t="s">
        <v>135</v>
      </c>
      <c r="BZ183" s="1" t="s">
        <v>2517</v>
      </c>
      <c r="CA183" s="1">
        <v>6480</v>
      </c>
      <c r="CB183" s="1" t="s">
        <v>137</v>
      </c>
      <c r="CC183" s="1" t="s">
        <v>138</v>
      </c>
      <c r="CF183" s="1">
        <v>0</v>
      </c>
      <c r="CG183" s="6">
        <v>3408490</v>
      </c>
      <c r="CH183" s="1">
        <v>526</v>
      </c>
      <c r="CI183" s="1">
        <v>0</v>
      </c>
      <c r="CJ183" s="1">
        <v>217</v>
      </c>
      <c r="CK183" s="1">
        <v>2046</v>
      </c>
      <c r="CL183" s="1">
        <v>1092</v>
      </c>
      <c r="CM183" s="1">
        <v>333</v>
      </c>
      <c r="CN183" s="1">
        <v>0</v>
      </c>
      <c r="CO183" s="1">
        <v>0</v>
      </c>
      <c r="CP183" s="1">
        <v>0</v>
      </c>
      <c r="CQ183" s="1">
        <v>0</v>
      </c>
      <c r="CR183" s="1" t="s">
        <v>139</v>
      </c>
      <c r="CS183" s="1" t="s">
        <v>308</v>
      </c>
      <c r="CT183" s="1" t="s">
        <v>223</v>
      </c>
      <c r="CW183" s="1" t="s">
        <v>420</v>
      </c>
      <c r="CX183" s="1" t="s">
        <v>2518</v>
      </c>
      <c r="CY183" s="1" t="s">
        <v>143</v>
      </c>
      <c r="CZ183" s="1" t="s">
        <v>144</v>
      </c>
      <c r="DA183" s="1" t="s">
        <v>145</v>
      </c>
    </row>
    <row r="184" spans="1:105" s="3" customFormat="1" ht="11.25" customHeight="1" x14ac:dyDescent="0.2">
      <c r="A184" s="1">
        <v>41</v>
      </c>
      <c r="B184" s="1" t="s">
        <v>2520</v>
      </c>
      <c r="C184" s="1" t="s">
        <v>2519</v>
      </c>
      <c r="D184" s="1">
        <v>3989</v>
      </c>
      <c r="E184" s="2" t="s">
        <v>4201</v>
      </c>
      <c r="F184" s="1" t="s">
        <v>113</v>
      </c>
      <c r="H184" s="1" t="s">
        <v>2521</v>
      </c>
      <c r="I184" s="1" t="s">
        <v>2521</v>
      </c>
      <c r="J184" s="1" t="s">
        <v>113</v>
      </c>
      <c r="L184" s="1" t="s">
        <v>111</v>
      </c>
      <c r="M184" s="1" t="s">
        <v>230</v>
      </c>
      <c r="N184" s="1" t="s">
        <v>112</v>
      </c>
      <c r="O184" s="1" t="s">
        <v>113</v>
      </c>
      <c r="P184" s="1" t="s">
        <v>113</v>
      </c>
      <c r="Q184" s="1" t="s">
        <v>2522</v>
      </c>
      <c r="R184" s="1" t="s">
        <v>127</v>
      </c>
      <c r="S184" s="1" t="s">
        <v>127</v>
      </c>
      <c r="T184" s="1" t="s">
        <v>106</v>
      </c>
      <c r="U184" s="1" t="s">
        <v>127</v>
      </c>
      <c r="V184" s="1" t="s">
        <v>2523</v>
      </c>
      <c r="W184" s="1" t="s">
        <v>115</v>
      </c>
      <c r="X184" s="1" t="s">
        <v>113</v>
      </c>
      <c r="Y184" s="1" t="s">
        <v>127</v>
      </c>
      <c r="Z184" s="1">
        <v>100</v>
      </c>
      <c r="AA184" s="1" t="s">
        <v>116</v>
      </c>
      <c r="AB184" s="1" t="s">
        <v>128</v>
      </c>
      <c r="AC184" s="1" t="s">
        <v>128</v>
      </c>
      <c r="AD184" s="1">
        <v>0</v>
      </c>
      <c r="AE184" s="1" t="s">
        <v>127</v>
      </c>
      <c r="AF184" s="1">
        <v>544</v>
      </c>
      <c r="AG184" s="1" t="s">
        <v>113</v>
      </c>
      <c r="AH184" s="1">
        <v>0</v>
      </c>
      <c r="AI184" s="1">
        <v>0</v>
      </c>
      <c r="AJ184" s="1">
        <v>0</v>
      </c>
      <c r="AK184" s="1" t="s">
        <v>232</v>
      </c>
      <c r="AL184" s="1">
        <v>600</v>
      </c>
      <c r="AM184" s="1" t="s">
        <v>131</v>
      </c>
      <c r="AN184" s="1">
        <v>600</v>
      </c>
      <c r="AO184" s="1" t="s">
        <v>113</v>
      </c>
      <c r="AP184" s="1" t="s">
        <v>106</v>
      </c>
      <c r="AQ184" s="1" t="s">
        <v>2524</v>
      </c>
      <c r="AR184" s="1" t="s">
        <v>2525</v>
      </c>
      <c r="AS184" s="1" t="s">
        <v>2526</v>
      </c>
      <c r="AT184" s="1" t="s">
        <v>204</v>
      </c>
      <c r="AU184" s="1" t="s">
        <v>106</v>
      </c>
      <c r="AV184" s="1" t="s">
        <v>113</v>
      </c>
      <c r="AW184" s="1" t="s">
        <v>205</v>
      </c>
      <c r="AX184" s="1" t="s">
        <v>206</v>
      </c>
      <c r="AY184" s="1">
        <v>70</v>
      </c>
      <c r="AZ184" s="1" t="s">
        <v>106</v>
      </c>
      <c r="BA184" s="1" t="s">
        <v>113</v>
      </c>
      <c r="BB184" s="1" t="s">
        <v>125</v>
      </c>
      <c r="BC184" s="1" t="s">
        <v>206</v>
      </c>
      <c r="BD184" s="1">
        <v>30</v>
      </c>
      <c r="BE184" s="1">
        <v>100</v>
      </c>
      <c r="BF184" s="1" t="s">
        <v>167</v>
      </c>
      <c r="BG184" s="1" t="s">
        <v>268</v>
      </c>
      <c r="BH184" s="1" t="s">
        <v>269</v>
      </c>
      <c r="BI184" s="1" t="s">
        <v>269</v>
      </c>
      <c r="BJ184" s="1" t="s">
        <v>208</v>
      </c>
      <c r="BK184" s="1">
        <v>10</v>
      </c>
      <c r="BL184" s="1" t="s">
        <v>270</v>
      </c>
      <c r="BM184" s="1" t="s">
        <v>271</v>
      </c>
      <c r="BN184" s="1">
        <v>6</v>
      </c>
      <c r="BO184" s="1">
        <v>0</v>
      </c>
      <c r="BP184" s="1" t="s">
        <v>115</v>
      </c>
      <c r="BQ184" s="1" t="s">
        <v>2527</v>
      </c>
      <c r="BR184" s="1" t="s">
        <v>2528</v>
      </c>
      <c r="BS184" s="1" t="s">
        <v>971</v>
      </c>
      <c r="BT184" s="1" t="s">
        <v>172</v>
      </c>
      <c r="BU184" s="1" t="s">
        <v>132</v>
      </c>
      <c r="BV184" s="1" t="s">
        <v>2529</v>
      </c>
      <c r="BW184" s="1" t="s">
        <v>134</v>
      </c>
      <c r="BX184" s="1" t="s">
        <v>127</v>
      </c>
      <c r="BY184" s="1" t="s">
        <v>135</v>
      </c>
      <c r="BZ184" s="1" t="s">
        <v>127</v>
      </c>
      <c r="CA184" s="1">
        <v>544</v>
      </c>
      <c r="CB184" s="1" t="s">
        <v>216</v>
      </c>
      <c r="CC184" s="1" t="s">
        <v>217</v>
      </c>
      <c r="CD184" s="1" t="s">
        <v>2530</v>
      </c>
      <c r="CE184" s="1" t="s">
        <v>219</v>
      </c>
      <c r="CF184" s="1">
        <v>85547.74</v>
      </c>
      <c r="CG184" s="1">
        <v>215832</v>
      </c>
      <c r="CH184" s="5" t="s">
        <v>220</v>
      </c>
      <c r="CI184" s="1">
        <v>462.92</v>
      </c>
      <c r="CJ184" s="1">
        <v>0</v>
      </c>
      <c r="CK184" s="1">
        <v>1042</v>
      </c>
      <c r="CL184" s="1">
        <v>0</v>
      </c>
      <c r="CM184" s="1">
        <v>0</v>
      </c>
      <c r="CN184" s="1">
        <v>0</v>
      </c>
      <c r="CO184" s="1">
        <v>0</v>
      </c>
      <c r="CP184" s="1">
        <v>0</v>
      </c>
      <c r="CQ184" s="1">
        <v>0</v>
      </c>
      <c r="CR184" s="1" t="s">
        <v>139</v>
      </c>
      <c r="CS184" s="1" t="s">
        <v>140</v>
      </c>
      <c r="CT184" s="1" t="s">
        <v>2531</v>
      </c>
      <c r="CV184" s="1" t="s">
        <v>500</v>
      </c>
      <c r="CW184" s="1" t="s">
        <v>284</v>
      </c>
      <c r="CX184" s="1" t="s">
        <v>2532</v>
      </c>
      <c r="CY184" s="1" t="s">
        <v>2533</v>
      </c>
      <c r="CZ184" s="1" t="s">
        <v>144</v>
      </c>
      <c r="DA184" s="1" t="s">
        <v>145</v>
      </c>
    </row>
    <row r="185" spans="1:105" s="3" customFormat="1" ht="11.25" customHeight="1" x14ac:dyDescent="0.2">
      <c r="A185" s="1">
        <v>41</v>
      </c>
      <c r="B185" s="1" t="s">
        <v>2535</v>
      </c>
      <c r="C185" s="1" t="s">
        <v>2534</v>
      </c>
      <c r="D185" s="1">
        <v>5226</v>
      </c>
      <c r="E185" s="2" t="s">
        <v>4201</v>
      </c>
      <c r="F185" s="1" t="s">
        <v>113</v>
      </c>
      <c r="H185" s="1" t="s">
        <v>276</v>
      </c>
      <c r="I185" s="1" t="s">
        <v>229</v>
      </c>
      <c r="J185" s="1" t="s">
        <v>229</v>
      </c>
      <c r="K185" s="1" t="s">
        <v>276</v>
      </c>
      <c r="L185" s="1" t="s">
        <v>111</v>
      </c>
      <c r="M185" s="1" t="s">
        <v>191</v>
      </c>
      <c r="N185" s="1" t="s">
        <v>2536</v>
      </c>
      <c r="O185" s="1" t="s">
        <v>113</v>
      </c>
      <c r="P185" s="1" t="s">
        <v>113</v>
      </c>
      <c r="Q185" s="1" t="s">
        <v>195</v>
      </c>
      <c r="R185" s="1" t="s">
        <v>2537</v>
      </c>
      <c r="S185" s="1" t="s">
        <v>1263</v>
      </c>
      <c r="T185" s="1" t="s">
        <v>113</v>
      </c>
      <c r="U185" s="1" t="s">
        <v>157</v>
      </c>
      <c r="V185" s="1" t="s">
        <v>2538</v>
      </c>
      <c r="W185" s="1" t="s">
        <v>115</v>
      </c>
      <c r="X185" s="1" t="s">
        <v>106</v>
      </c>
      <c r="Y185" s="1" t="s">
        <v>2539</v>
      </c>
      <c r="Z185" s="1">
        <v>100</v>
      </c>
      <c r="AA185" s="1" t="s">
        <v>116</v>
      </c>
      <c r="AB185" s="1" t="s">
        <v>128</v>
      </c>
      <c r="AC185" s="1" t="s">
        <v>128</v>
      </c>
      <c r="AD185" s="1">
        <v>0</v>
      </c>
      <c r="AE185" s="1" t="s">
        <v>276</v>
      </c>
      <c r="AF185" s="1">
        <v>559</v>
      </c>
      <c r="AG185" s="1" t="s">
        <v>113</v>
      </c>
      <c r="AH185" s="1">
        <v>70</v>
      </c>
      <c r="AI185" s="1">
        <v>8</v>
      </c>
      <c r="AJ185" s="1">
        <v>22</v>
      </c>
      <c r="AK185" s="1" t="s">
        <v>232</v>
      </c>
      <c r="AL185" s="1">
        <v>100</v>
      </c>
      <c r="AM185" s="1" t="s">
        <v>2540</v>
      </c>
      <c r="AN185" s="1">
        <v>100</v>
      </c>
      <c r="AO185" s="1" t="s">
        <v>113</v>
      </c>
      <c r="AP185" s="1" t="s">
        <v>113</v>
      </c>
      <c r="AQ185" s="1" t="s">
        <v>157</v>
      </c>
      <c r="AR185" s="1" t="s">
        <v>157</v>
      </c>
      <c r="AS185" s="1" t="s">
        <v>157</v>
      </c>
      <c r="AT185" s="1" t="s">
        <v>123</v>
      </c>
      <c r="AU185" s="1" t="s">
        <v>106</v>
      </c>
      <c r="AV185" s="1" t="s">
        <v>113</v>
      </c>
      <c r="AW185" s="1" t="s">
        <v>164</v>
      </c>
      <c r="AX185" s="1" t="s">
        <v>165</v>
      </c>
      <c r="AY185" s="1">
        <v>0</v>
      </c>
      <c r="AZ185" s="1" t="s">
        <v>113</v>
      </c>
      <c r="BA185" s="1" t="s">
        <v>113</v>
      </c>
      <c r="BB185" s="1" t="s">
        <v>125</v>
      </c>
      <c r="BC185" s="1" t="s">
        <v>166</v>
      </c>
      <c r="BD185" s="1">
        <v>0</v>
      </c>
      <c r="BE185" s="1">
        <v>100</v>
      </c>
      <c r="BF185" s="1" t="s">
        <v>167</v>
      </c>
      <c r="BG185" s="1" t="s">
        <v>383</v>
      </c>
      <c r="BH185" s="1" t="s">
        <v>169</v>
      </c>
      <c r="BI185" s="1" t="s">
        <v>169</v>
      </c>
      <c r="BJ185" s="1" t="s">
        <v>128</v>
      </c>
      <c r="BK185" s="1">
        <v>0</v>
      </c>
      <c r="BL185" s="1" t="s">
        <v>127</v>
      </c>
      <c r="BM185" s="1" t="s">
        <v>114</v>
      </c>
      <c r="BN185" s="1">
        <v>3</v>
      </c>
      <c r="BO185" s="1">
        <v>1</v>
      </c>
      <c r="BP185" s="1" t="s">
        <v>115</v>
      </c>
      <c r="BQ185" s="1" t="s">
        <v>2541</v>
      </c>
      <c r="BR185" s="1" t="s">
        <v>2542</v>
      </c>
      <c r="BS185" s="1" t="s">
        <v>2543</v>
      </c>
      <c r="BT185" s="1" t="s">
        <v>131</v>
      </c>
      <c r="BU185" s="1" t="s">
        <v>132</v>
      </c>
      <c r="BV185" s="1" t="s">
        <v>1028</v>
      </c>
      <c r="BW185" s="1" t="s">
        <v>134</v>
      </c>
      <c r="BX185" s="1" t="s">
        <v>325</v>
      </c>
      <c r="BY185" s="1" t="s">
        <v>299</v>
      </c>
      <c r="BZ185" s="1" t="s">
        <v>2544</v>
      </c>
      <c r="CA185" s="1">
        <v>599</v>
      </c>
      <c r="CB185" s="1" t="s">
        <v>216</v>
      </c>
      <c r="CC185" s="1" t="s">
        <v>217</v>
      </c>
      <c r="CD185" s="1" t="s">
        <v>2545</v>
      </c>
      <c r="CE185" s="1" t="s">
        <v>219</v>
      </c>
      <c r="CF185" s="1" t="s">
        <v>2546</v>
      </c>
      <c r="CG185" s="1" t="s">
        <v>2547</v>
      </c>
      <c r="CH185" s="1">
        <v>0</v>
      </c>
      <c r="CI185" s="1">
        <v>0</v>
      </c>
      <c r="CJ185" s="1">
        <v>0</v>
      </c>
      <c r="CK185" s="1">
        <v>32000</v>
      </c>
      <c r="CL185" s="1">
        <v>72000</v>
      </c>
      <c r="CM185" s="1">
        <v>0</v>
      </c>
      <c r="CN185" s="1">
        <v>0</v>
      </c>
      <c r="CO185" s="1">
        <v>0</v>
      </c>
      <c r="CP185" s="1">
        <v>0</v>
      </c>
      <c r="CQ185" s="1">
        <v>0</v>
      </c>
      <c r="CR185" s="1" t="s">
        <v>139</v>
      </c>
      <c r="CS185" s="1" t="s">
        <v>140</v>
      </c>
      <c r="CT185" s="1" t="s">
        <v>157</v>
      </c>
      <c r="CV185" s="1" t="s">
        <v>439</v>
      </c>
      <c r="CW185" s="1" t="s">
        <v>251</v>
      </c>
      <c r="CX185" s="1" t="s">
        <v>157</v>
      </c>
      <c r="CY185" s="1" t="s">
        <v>276</v>
      </c>
      <c r="CZ185" s="1" t="s">
        <v>144</v>
      </c>
      <c r="DA185" s="1" t="s">
        <v>145</v>
      </c>
    </row>
    <row r="186" spans="1:105" s="3" customFormat="1" ht="11.25" customHeight="1" x14ac:dyDescent="0.2">
      <c r="A186" s="1">
        <v>41</v>
      </c>
      <c r="B186" s="1" t="s">
        <v>2548</v>
      </c>
      <c r="C186" s="1" t="s">
        <v>2225</v>
      </c>
      <c r="D186" s="1">
        <v>23813</v>
      </c>
      <c r="E186" s="2" t="s">
        <v>4201</v>
      </c>
      <c r="F186" s="1" t="s">
        <v>113</v>
      </c>
      <c r="G186" s="1" t="s">
        <v>2224</v>
      </c>
      <c r="H186" s="1" t="s">
        <v>2225</v>
      </c>
      <c r="I186" s="1" t="s">
        <v>193</v>
      </c>
      <c r="J186" s="1" t="s">
        <v>113</v>
      </c>
      <c r="K186" s="1" t="s">
        <v>2549</v>
      </c>
      <c r="L186" s="1" t="s">
        <v>111</v>
      </c>
      <c r="M186" s="5" t="s">
        <v>126</v>
      </c>
      <c r="N186" s="1" t="s">
        <v>112</v>
      </c>
      <c r="O186" s="1" t="s">
        <v>106</v>
      </c>
      <c r="P186" s="1" t="s">
        <v>106</v>
      </c>
      <c r="Q186" s="1" t="s">
        <v>195</v>
      </c>
      <c r="R186" s="1" t="s">
        <v>2550</v>
      </c>
      <c r="S186" s="1" t="s">
        <v>709</v>
      </c>
      <c r="T186" s="1" t="s">
        <v>106</v>
      </c>
      <c r="U186" s="1" t="s">
        <v>2551</v>
      </c>
      <c r="V186" s="1" t="s">
        <v>2552</v>
      </c>
      <c r="W186" s="1" t="s">
        <v>115</v>
      </c>
      <c r="X186" s="1" t="s">
        <v>113</v>
      </c>
      <c r="Y186" s="1" t="s">
        <v>709</v>
      </c>
      <c r="Z186" s="1">
        <v>100</v>
      </c>
      <c r="AA186" s="1" t="s">
        <v>132</v>
      </c>
      <c r="AB186" s="1" t="s">
        <v>128</v>
      </c>
      <c r="AC186" s="1" t="s">
        <v>128</v>
      </c>
      <c r="AD186" s="1">
        <v>0</v>
      </c>
      <c r="AE186" s="1" t="s">
        <v>2553</v>
      </c>
      <c r="AF186" s="1">
        <v>3600</v>
      </c>
      <c r="AG186" s="1" t="s">
        <v>113</v>
      </c>
      <c r="AH186" s="1">
        <v>0</v>
      </c>
      <c r="AI186" s="1">
        <v>0</v>
      </c>
      <c r="AJ186" s="1">
        <v>0</v>
      </c>
      <c r="AK186" s="1" t="s">
        <v>119</v>
      </c>
      <c r="AL186" s="1">
        <v>0</v>
      </c>
      <c r="AM186" s="1" t="s">
        <v>2554</v>
      </c>
      <c r="AN186" s="1">
        <v>0</v>
      </c>
      <c r="AO186" s="1" t="s">
        <v>113</v>
      </c>
      <c r="AP186" s="1" t="s">
        <v>113</v>
      </c>
      <c r="AQ186" s="1" t="s">
        <v>1029</v>
      </c>
      <c r="AR186" s="1" t="s">
        <v>2555</v>
      </c>
      <c r="AS186" s="1" t="s">
        <v>1475</v>
      </c>
      <c r="AT186" s="1" t="s">
        <v>123</v>
      </c>
      <c r="AU186" s="1" t="s">
        <v>113</v>
      </c>
      <c r="AV186" s="1" t="s">
        <v>113</v>
      </c>
      <c r="AW186" s="1" t="s">
        <v>164</v>
      </c>
      <c r="AX186" s="1" t="s">
        <v>165</v>
      </c>
      <c r="AY186" s="1">
        <v>0</v>
      </c>
      <c r="AZ186" s="1" t="s">
        <v>113</v>
      </c>
      <c r="BA186" s="1" t="s">
        <v>113</v>
      </c>
      <c r="BB186" s="1" t="s">
        <v>125</v>
      </c>
      <c r="BC186" s="1" t="s">
        <v>166</v>
      </c>
      <c r="BD186" s="1">
        <v>0</v>
      </c>
      <c r="BE186" s="1">
        <v>100</v>
      </c>
      <c r="BF186" s="1" t="s">
        <v>167</v>
      </c>
      <c r="BG186" s="1" t="s">
        <v>1188</v>
      </c>
      <c r="BH186" s="1" t="s">
        <v>169</v>
      </c>
      <c r="BI186" s="1" t="s">
        <v>169</v>
      </c>
      <c r="BJ186" s="1" t="s">
        <v>128</v>
      </c>
      <c r="BK186" s="1">
        <v>0</v>
      </c>
      <c r="BL186" s="1" t="s">
        <v>127</v>
      </c>
      <c r="BM186" s="1" t="s">
        <v>114</v>
      </c>
      <c r="BN186" s="1" t="s">
        <v>276</v>
      </c>
      <c r="BO186" s="1" t="s">
        <v>2556</v>
      </c>
      <c r="BP186" s="1" t="s">
        <v>124</v>
      </c>
      <c r="BQ186" s="1" t="s">
        <v>2225</v>
      </c>
      <c r="BR186" s="1" t="s">
        <v>1475</v>
      </c>
      <c r="BS186" s="1" t="s">
        <v>2557</v>
      </c>
      <c r="BT186" s="1" t="s">
        <v>172</v>
      </c>
      <c r="BU186" s="1" t="s">
        <v>132</v>
      </c>
      <c r="BV186" s="1" t="s">
        <v>2558</v>
      </c>
      <c r="BW186" s="1" t="s">
        <v>134</v>
      </c>
      <c r="BX186" s="1" t="s">
        <v>633</v>
      </c>
      <c r="BY186" s="1" t="s">
        <v>135</v>
      </c>
      <c r="BZ186" s="1" t="s">
        <v>1029</v>
      </c>
      <c r="CA186" s="1">
        <v>5400</v>
      </c>
      <c r="CB186" s="1" t="s">
        <v>244</v>
      </c>
      <c r="CC186" s="1" t="s">
        <v>496</v>
      </c>
      <c r="CD186" s="1" t="s">
        <v>2559</v>
      </c>
      <c r="CE186" s="1" t="s">
        <v>478</v>
      </c>
      <c r="CF186" s="6">
        <v>1406055.65</v>
      </c>
      <c r="CG186" s="6">
        <v>3075487.54</v>
      </c>
      <c r="CH186" s="6">
        <v>1655916</v>
      </c>
      <c r="CI186" s="6">
        <v>1502959.68</v>
      </c>
      <c r="CJ186" s="6">
        <v>1509959.6799999999</v>
      </c>
      <c r="CK186" s="6">
        <v>508540.92</v>
      </c>
      <c r="CL186" s="1">
        <v>12000</v>
      </c>
      <c r="CM186" s="1">
        <v>150995968</v>
      </c>
      <c r="CN186" s="1">
        <v>0</v>
      </c>
      <c r="CO186" s="1">
        <v>0</v>
      </c>
      <c r="CP186" s="1">
        <v>0</v>
      </c>
      <c r="CQ186" s="1">
        <v>0</v>
      </c>
      <c r="CR186" s="1" t="s">
        <v>139</v>
      </c>
      <c r="CS186" s="1" t="s">
        <v>140</v>
      </c>
      <c r="CT186" s="1" t="s">
        <v>394</v>
      </c>
      <c r="CV186" s="1" t="s">
        <v>2560</v>
      </c>
      <c r="CW186" s="1" t="s">
        <v>251</v>
      </c>
      <c r="CX186" s="1" t="s">
        <v>157</v>
      </c>
      <c r="CY186" s="1" t="s">
        <v>276</v>
      </c>
      <c r="CZ186" s="1" t="s">
        <v>144</v>
      </c>
      <c r="DA186" s="1" t="s">
        <v>145</v>
      </c>
    </row>
    <row r="187" spans="1:105" s="3" customFormat="1" ht="11.25" customHeight="1" x14ac:dyDescent="0.2">
      <c r="A187" s="1">
        <v>41</v>
      </c>
      <c r="B187" s="1" t="s">
        <v>2562</v>
      </c>
      <c r="C187" s="1" t="s">
        <v>2561</v>
      </c>
      <c r="D187" s="1">
        <v>4693</v>
      </c>
      <c r="E187" s="2" t="s">
        <v>4201</v>
      </c>
      <c r="F187" s="1" t="s">
        <v>106</v>
      </c>
      <c r="G187" s="1" t="s">
        <v>398</v>
      </c>
      <c r="H187" s="1" t="s">
        <v>2563</v>
      </c>
      <c r="I187" s="1" t="s">
        <v>2564</v>
      </c>
      <c r="J187" s="1" t="s">
        <v>113</v>
      </c>
      <c r="K187" s="1" t="s">
        <v>359</v>
      </c>
      <c r="L187" s="1" t="s">
        <v>111</v>
      </c>
      <c r="M187" s="1" t="s">
        <v>695</v>
      </c>
      <c r="N187" s="1" t="s">
        <v>112</v>
      </c>
      <c r="O187" s="1" t="s">
        <v>113</v>
      </c>
      <c r="P187" s="1" t="s">
        <v>113</v>
      </c>
      <c r="Q187" s="1" t="s">
        <v>195</v>
      </c>
      <c r="R187" s="1" t="s">
        <v>1171</v>
      </c>
      <c r="S187" s="1" t="s">
        <v>2565</v>
      </c>
      <c r="T187" s="1" t="s">
        <v>106</v>
      </c>
      <c r="U187" s="1" t="s">
        <v>2566</v>
      </c>
      <c r="V187" s="1" t="s">
        <v>2567</v>
      </c>
      <c r="W187" s="1" t="s">
        <v>755</v>
      </c>
      <c r="X187" s="1" t="s">
        <v>113</v>
      </c>
      <c r="Y187" s="1" t="s">
        <v>157</v>
      </c>
      <c r="Z187" s="1">
        <v>100</v>
      </c>
      <c r="AA187" s="1" t="s">
        <v>116</v>
      </c>
      <c r="AB187" s="1" t="s">
        <v>158</v>
      </c>
      <c r="AC187" s="1" t="s">
        <v>128</v>
      </c>
      <c r="AD187" s="1">
        <v>0</v>
      </c>
      <c r="AE187" s="1" t="s">
        <v>157</v>
      </c>
      <c r="AF187" s="1">
        <v>993</v>
      </c>
      <c r="AG187" s="1" t="s">
        <v>113</v>
      </c>
      <c r="AH187" s="1">
        <v>0</v>
      </c>
      <c r="AI187" s="1">
        <v>0</v>
      </c>
      <c r="AJ187" s="1">
        <v>0</v>
      </c>
      <c r="AK187" s="1" t="s">
        <v>232</v>
      </c>
      <c r="AL187" s="1">
        <v>33</v>
      </c>
      <c r="AM187" s="1" t="s">
        <v>120</v>
      </c>
      <c r="AN187" s="1">
        <v>33</v>
      </c>
      <c r="AO187" s="1" t="s">
        <v>113</v>
      </c>
      <c r="AP187" s="1" t="s">
        <v>113</v>
      </c>
      <c r="AQ187" s="1" t="s">
        <v>157</v>
      </c>
      <c r="AR187" s="1" t="s">
        <v>157</v>
      </c>
      <c r="AS187" s="1" t="s">
        <v>157</v>
      </c>
      <c r="AT187" s="1" t="s">
        <v>123</v>
      </c>
      <c r="AU187" s="1" t="s">
        <v>113</v>
      </c>
      <c r="AV187" s="1" t="s">
        <v>113</v>
      </c>
      <c r="AW187" s="1" t="s">
        <v>234</v>
      </c>
      <c r="AX187" s="1" t="s">
        <v>760</v>
      </c>
      <c r="AY187" s="1">
        <v>20</v>
      </c>
      <c r="AZ187" s="1" t="s">
        <v>113</v>
      </c>
      <c r="BA187" s="1" t="s">
        <v>113</v>
      </c>
      <c r="BB187" s="1" t="s">
        <v>125</v>
      </c>
      <c r="BC187" s="1" t="s">
        <v>166</v>
      </c>
      <c r="BD187" s="1">
        <v>0</v>
      </c>
      <c r="BE187" s="1">
        <v>100</v>
      </c>
      <c r="BF187" s="1" t="s">
        <v>167</v>
      </c>
      <c r="BG187" s="1" t="s">
        <v>383</v>
      </c>
      <c r="BH187" s="1" t="s">
        <v>207</v>
      </c>
      <c r="BI187" s="1" t="s">
        <v>207</v>
      </c>
      <c r="BJ187" s="1" t="s">
        <v>384</v>
      </c>
      <c r="BK187" s="1">
        <v>100</v>
      </c>
      <c r="BL187" s="1" t="s">
        <v>167</v>
      </c>
      <c r="BM187" s="1" t="s">
        <v>271</v>
      </c>
      <c r="BN187" s="1" t="s">
        <v>143</v>
      </c>
      <c r="BO187" s="1">
        <v>8</v>
      </c>
      <c r="BP187" s="1" t="s">
        <v>115</v>
      </c>
      <c r="BQ187" s="1" t="s">
        <v>359</v>
      </c>
      <c r="BR187" s="1" t="s">
        <v>2568</v>
      </c>
      <c r="BS187" s="1" t="s">
        <v>2569</v>
      </c>
      <c r="BT187" s="1" t="s">
        <v>172</v>
      </c>
      <c r="BU187" s="1" t="s">
        <v>132</v>
      </c>
      <c r="BV187" s="1" t="s">
        <v>2570</v>
      </c>
      <c r="BW187" s="1" t="s">
        <v>134</v>
      </c>
      <c r="BX187" s="1" t="s">
        <v>157</v>
      </c>
      <c r="BY187" s="1" t="s">
        <v>135</v>
      </c>
      <c r="BZ187" s="1" t="s">
        <v>157</v>
      </c>
      <c r="CA187" s="1">
        <v>960</v>
      </c>
      <c r="CB187" s="1" t="s">
        <v>244</v>
      </c>
      <c r="CC187" s="1" t="s">
        <v>177</v>
      </c>
      <c r="CD187" s="1" t="s">
        <v>2571</v>
      </c>
      <c r="CE187" s="1" t="s">
        <v>219</v>
      </c>
      <c r="CF187" s="1">
        <v>216000</v>
      </c>
      <c r="CG187" s="1">
        <v>523000</v>
      </c>
      <c r="CH187" s="1">
        <v>0</v>
      </c>
      <c r="CI187" s="1">
        <v>0</v>
      </c>
      <c r="CJ187" s="1">
        <v>0</v>
      </c>
      <c r="CK187" s="1">
        <v>0</v>
      </c>
      <c r="CL187" s="1">
        <v>0</v>
      </c>
      <c r="CM187" s="1">
        <v>0</v>
      </c>
      <c r="CN187" s="1">
        <v>0</v>
      </c>
      <c r="CO187" s="1">
        <v>0</v>
      </c>
      <c r="CP187" s="1">
        <v>0</v>
      </c>
      <c r="CQ187" s="1">
        <v>0</v>
      </c>
      <c r="CR187" s="1" t="s">
        <v>139</v>
      </c>
      <c r="CS187" s="1" t="s">
        <v>308</v>
      </c>
      <c r="CT187" s="1" t="s">
        <v>589</v>
      </c>
      <c r="CU187" s="1" t="s">
        <v>2572</v>
      </c>
      <c r="CV187" s="1" t="s">
        <v>2573</v>
      </c>
      <c r="CW187" s="1" t="s">
        <v>251</v>
      </c>
      <c r="CX187" s="1" t="s">
        <v>157</v>
      </c>
      <c r="CY187" s="1" t="s">
        <v>143</v>
      </c>
      <c r="CZ187" s="1" t="s">
        <v>144</v>
      </c>
      <c r="DA187" s="1" t="s">
        <v>145</v>
      </c>
    </row>
    <row r="188" spans="1:105" s="3" customFormat="1" ht="11.25" customHeight="1" x14ac:dyDescent="0.2">
      <c r="A188" s="1">
        <v>41</v>
      </c>
      <c r="B188" s="1" t="s">
        <v>2574</v>
      </c>
      <c r="C188" s="1" t="s">
        <v>1338</v>
      </c>
      <c r="D188" s="1">
        <v>577318</v>
      </c>
      <c r="E188" s="2" t="s">
        <v>4201</v>
      </c>
      <c r="F188" s="1" t="s">
        <v>113</v>
      </c>
      <c r="G188" s="1" t="s">
        <v>190</v>
      </c>
      <c r="H188" s="1" t="s">
        <v>2575</v>
      </c>
      <c r="I188" s="1" t="s">
        <v>229</v>
      </c>
      <c r="J188" s="1" t="s">
        <v>229</v>
      </c>
      <c r="K188" s="1" t="s">
        <v>2575</v>
      </c>
      <c r="L188" s="1" t="s">
        <v>401</v>
      </c>
      <c r="M188" s="1" t="s">
        <v>2576</v>
      </c>
      <c r="N188" s="1" t="s">
        <v>2577</v>
      </c>
      <c r="O188" s="1" t="s">
        <v>113</v>
      </c>
      <c r="P188" s="1" t="s">
        <v>113</v>
      </c>
      <c r="Q188" s="1" t="s">
        <v>195</v>
      </c>
      <c r="R188" s="1" t="s">
        <v>2578</v>
      </c>
      <c r="S188" s="1" t="s">
        <v>2578</v>
      </c>
      <c r="T188" s="1" t="s">
        <v>106</v>
      </c>
      <c r="U188" s="1" t="s">
        <v>2579</v>
      </c>
      <c r="V188" s="1" t="s">
        <v>2580</v>
      </c>
      <c r="W188" s="1" t="s">
        <v>115</v>
      </c>
      <c r="X188" s="1" t="s">
        <v>106</v>
      </c>
      <c r="Y188" s="1" t="s">
        <v>2581</v>
      </c>
      <c r="Z188" s="1">
        <v>100</v>
      </c>
      <c r="AA188" s="1" t="s">
        <v>132</v>
      </c>
      <c r="AB188" s="1" t="s">
        <v>128</v>
      </c>
      <c r="AC188" s="1" t="s">
        <v>118</v>
      </c>
      <c r="AD188" s="1">
        <v>92</v>
      </c>
      <c r="AE188" s="1" t="s">
        <v>132</v>
      </c>
      <c r="AF188" s="1">
        <v>3733</v>
      </c>
      <c r="AG188" s="1" t="s">
        <v>106</v>
      </c>
      <c r="AH188" s="1">
        <v>38</v>
      </c>
      <c r="AI188" s="1">
        <v>36</v>
      </c>
      <c r="AJ188" s="1">
        <v>26</v>
      </c>
      <c r="AK188" s="1" t="s">
        <v>530</v>
      </c>
      <c r="AL188" s="1">
        <v>6092</v>
      </c>
      <c r="AM188" s="1" t="s">
        <v>120</v>
      </c>
      <c r="AN188" s="1">
        <v>4440</v>
      </c>
      <c r="AO188" s="1" t="s">
        <v>113</v>
      </c>
      <c r="AP188" s="1" t="s">
        <v>113</v>
      </c>
      <c r="AQ188" s="1" t="s">
        <v>114</v>
      </c>
      <c r="AR188" s="1" t="s">
        <v>114</v>
      </c>
      <c r="AS188" s="1" t="s">
        <v>114</v>
      </c>
      <c r="AT188" s="1" t="s">
        <v>204</v>
      </c>
      <c r="AU188" s="1" t="s">
        <v>113</v>
      </c>
      <c r="AV188" s="1" t="s">
        <v>106</v>
      </c>
      <c r="AW188" s="1" t="s">
        <v>234</v>
      </c>
      <c r="AX188" s="1" t="s">
        <v>165</v>
      </c>
      <c r="AY188" s="1">
        <v>0</v>
      </c>
      <c r="AZ188" s="1" t="s">
        <v>113</v>
      </c>
      <c r="BA188" s="1" t="s">
        <v>113</v>
      </c>
      <c r="BB188" s="1" t="s">
        <v>125</v>
      </c>
      <c r="BC188" s="1" t="s">
        <v>166</v>
      </c>
      <c r="BD188" s="1">
        <v>0</v>
      </c>
      <c r="BE188" s="1">
        <v>100</v>
      </c>
      <c r="BF188" s="1" t="s">
        <v>167</v>
      </c>
      <c r="BG188" s="1" t="s">
        <v>268</v>
      </c>
      <c r="BH188" s="1" t="s">
        <v>450</v>
      </c>
      <c r="BI188" s="1" t="s">
        <v>450</v>
      </c>
      <c r="BJ188" s="1" t="s">
        <v>208</v>
      </c>
      <c r="BK188" s="1">
        <v>92</v>
      </c>
      <c r="BL188" s="1" t="s">
        <v>167</v>
      </c>
      <c r="BM188" s="1" t="s">
        <v>271</v>
      </c>
      <c r="BN188" s="1">
        <v>236</v>
      </c>
      <c r="BO188" s="1">
        <v>0</v>
      </c>
      <c r="BP188" s="1" t="s">
        <v>124</v>
      </c>
      <c r="BQ188" s="1" t="s">
        <v>114</v>
      </c>
      <c r="BR188" s="1" t="s">
        <v>2582</v>
      </c>
      <c r="BS188" s="1" t="s">
        <v>2583</v>
      </c>
      <c r="BT188" s="1" t="s">
        <v>172</v>
      </c>
      <c r="BU188" s="1" t="s">
        <v>132</v>
      </c>
      <c r="BV188" s="1" t="s">
        <v>2516</v>
      </c>
      <c r="BW188" s="1" t="s">
        <v>134</v>
      </c>
      <c r="BX188" s="1" t="s">
        <v>135</v>
      </c>
      <c r="BY188" s="1" t="s">
        <v>135</v>
      </c>
      <c r="BZ188" s="1" t="s">
        <v>1117</v>
      </c>
      <c r="CA188" s="1">
        <v>134490</v>
      </c>
      <c r="CB188" s="1" t="s">
        <v>244</v>
      </c>
      <c r="CC188" s="1" t="s">
        <v>496</v>
      </c>
      <c r="CD188" s="1" t="s">
        <v>2584</v>
      </c>
      <c r="CE188" s="1" t="s">
        <v>478</v>
      </c>
      <c r="CF188" s="1">
        <v>48890190.57</v>
      </c>
      <c r="CG188" s="1">
        <v>34319293.649999999</v>
      </c>
      <c r="CH188" s="1">
        <v>192.61</v>
      </c>
      <c r="CI188" s="1">
        <v>0</v>
      </c>
      <c r="CJ188" s="1">
        <v>85</v>
      </c>
      <c r="CK188" s="1">
        <v>753.72</v>
      </c>
      <c r="CL188" s="1">
        <v>0</v>
      </c>
      <c r="CM188" s="1" t="s">
        <v>2585</v>
      </c>
      <c r="CN188" s="1">
        <v>0</v>
      </c>
      <c r="CO188" s="1">
        <v>0</v>
      </c>
      <c r="CP188" s="1">
        <v>0</v>
      </c>
      <c r="CQ188" s="1">
        <v>0</v>
      </c>
      <c r="CR188" s="1" t="s">
        <v>139</v>
      </c>
      <c r="CS188" s="1" t="s">
        <v>539</v>
      </c>
      <c r="CT188" s="1" t="s">
        <v>2586</v>
      </c>
      <c r="CU188" s="1" t="s">
        <v>249</v>
      </c>
      <c r="CV188" s="1" t="s">
        <v>211</v>
      </c>
      <c r="CW188" s="1" t="s">
        <v>284</v>
      </c>
      <c r="CX188" s="1" t="s">
        <v>2587</v>
      </c>
      <c r="CY188" s="1" t="s">
        <v>2588</v>
      </c>
      <c r="CZ188" s="1" t="s">
        <v>144</v>
      </c>
      <c r="DA188" s="1" t="s">
        <v>145</v>
      </c>
    </row>
    <row r="189" spans="1:105" s="3" customFormat="1" ht="11.25" customHeight="1" x14ac:dyDescent="0.2">
      <c r="A189" s="1">
        <v>41</v>
      </c>
      <c r="B189" s="1" t="s">
        <v>2589</v>
      </c>
      <c r="C189" s="1" t="s">
        <v>2590</v>
      </c>
      <c r="D189" s="1">
        <v>8921</v>
      </c>
      <c r="E189" s="2" t="s">
        <v>1688</v>
      </c>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V189" s="1"/>
      <c r="CW189" s="1"/>
      <c r="CX189" s="1"/>
      <c r="CY189" s="1"/>
      <c r="CZ189" s="1"/>
      <c r="DA189" s="1"/>
    </row>
    <row r="190" spans="1:105" s="3" customFormat="1" ht="11.25" customHeight="1" x14ac:dyDescent="0.2">
      <c r="A190" s="3">
        <v>41</v>
      </c>
      <c r="B190" s="3" t="s">
        <v>2591</v>
      </c>
      <c r="C190" s="3" t="s">
        <v>2592</v>
      </c>
      <c r="D190" s="3">
        <v>9059</v>
      </c>
      <c r="E190" s="2" t="s">
        <v>1688</v>
      </c>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4"/>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V190" s="1"/>
      <c r="CW190" s="1"/>
      <c r="CX190" s="1"/>
      <c r="CY190" s="1"/>
      <c r="CZ190" s="1"/>
      <c r="DA190" s="1"/>
    </row>
    <row r="191" spans="1:105" s="3" customFormat="1" ht="11.25" customHeight="1" x14ac:dyDescent="0.2">
      <c r="A191" s="1">
        <v>41</v>
      </c>
      <c r="B191" s="1" t="s">
        <v>2593</v>
      </c>
      <c r="C191" s="1" t="s">
        <v>2594</v>
      </c>
      <c r="D191" s="1">
        <v>9139</v>
      </c>
      <c r="E191" s="2" t="s">
        <v>1688</v>
      </c>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5"/>
      <c r="AJ191" s="5"/>
      <c r="AK191" s="1"/>
      <c r="AL191" s="1"/>
      <c r="AM191" s="1"/>
      <c r="AN191" s="1"/>
      <c r="AO191" s="1"/>
      <c r="AP191" s="1"/>
      <c r="AQ191" s="1"/>
      <c r="AR191" s="1"/>
      <c r="AS191" s="1"/>
      <c r="AT191" s="1"/>
      <c r="AU191" s="1"/>
      <c r="AV191" s="1"/>
      <c r="AW191" s="1"/>
      <c r="AY191" s="1"/>
      <c r="AZ191" s="1"/>
      <c r="BA191" s="1"/>
      <c r="BB191" s="1"/>
      <c r="BD191" s="1"/>
      <c r="BE191" s="1"/>
      <c r="BF191" s="1"/>
      <c r="BG191" s="1"/>
      <c r="BJ191" s="1"/>
      <c r="BK191" s="1"/>
      <c r="BL191" s="1"/>
      <c r="BM191" s="1"/>
      <c r="BN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V191" s="1"/>
      <c r="CW191" s="1"/>
      <c r="CX191" s="1"/>
      <c r="CY191" s="1"/>
    </row>
    <row r="192" spans="1:105" s="3" customFormat="1" ht="11.25" customHeight="1" x14ac:dyDescent="0.2">
      <c r="A192" s="1">
        <v>41</v>
      </c>
      <c r="B192" s="1" t="s">
        <v>2595</v>
      </c>
      <c r="C192" s="1" t="s">
        <v>2596</v>
      </c>
      <c r="D192" s="1">
        <v>9240</v>
      </c>
      <c r="E192" s="2" t="s">
        <v>1688</v>
      </c>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5"/>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W192" s="1"/>
      <c r="CX192" s="1"/>
      <c r="CY192" s="1"/>
      <c r="CZ192" s="1"/>
      <c r="DA192" s="1"/>
    </row>
    <row r="193" spans="1:105" s="3" customFormat="1" ht="11.25" customHeight="1" x14ac:dyDescent="0.2">
      <c r="A193" s="1">
        <v>41</v>
      </c>
      <c r="B193" s="1" t="s">
        <v>2598</v>
      </c>
      <c r="C193" s="1" t="s">
        <v>2597</v>
      </c>
      <c r="D193" s="1">
        <v>6696</v>
      </c>
      <c r="E193" s="2" t="s">
        <v>4201</v>
      </c>
      <c r="F193" s="1" t="s">
        <v>113</v>
      </c>
      <c r="G193" s="1" t="s">
        <v>190</v>
      </c>
      <c r="H193" s="1" t="s">
        <v>589</v>
      </c>
      <c r="I193" s="1" t="s">
        <v>229</v>
      </c>
      <c r="J193" s="1" t="s">
        <v>229</v>
      </c>
      <c r="L193" s="1" t="s">
        <v>111</v>
      </c>
      <c r="M193" s="1" t="s">
        <v>1427</v>
      </c>
      <c r="N193" s="1" t="s">
        <v>2339</v>
      </c>
      <c r="O193" s="1" t="s">
        <v>113</v>
      </c>
      <c r="P193" s="1" t="s">
        <v>113</v>
      </c>
      <c r="Q193" s="1" t="s">
        <v>195</v>
      </c>
      <c r="R193" s="1" t="s">
        <v>2599</v>
      </c>
      <c r="S193" s="1" t="s">
        <v>2600</v>
      </c>
      <c r="T193" s="1" t="s">
        <v>106</v>
      </c>
      <c r="U193" s="1" t="s">
        <v>157</v>
      </c>
      <c r="V193" s="1" t="s">
        <v>2601</v>
      </c>
      <c r="W193" s="1" t="s">
        <v>755</v>
      </c>
      <c r="X193" s="1" t="s">
        <v>113</v>
      </c>
      <c r="Y193" s="1" t="s">
        <v>157</v>
      </c>
      <c r="Z193" s="1">
        <v>100</v>
      </c>
      <c r="AA193" s="1" t="s">
        <v>116</v>
      </c>
      <c r="AB193" s="1" t="s">
        <v>128</v>
      </c>
      <c r="AC193" s="1" t="s">
        <v>118</v>
      </c>
      <c r="AD193" s="1">
        <v>30</v>
      </c>
      <c r="AE193" s="1" t="s">
        <v>116</v>
      </c>
      <c r="AF193" s="1">
        <v>1080</v>
      </c>
      <c r="AG193" s="1" t="s">
        <v>113</v>
      </c>
      <c r="AH193" s="1">
        <v>0</v>
      </c>
      <c r="AI193" s="1">
        <v>0</v>
      </c>
      <c r="AJ193" s="1">
        <v>0</v>
      </c>
      <c r="AK193" s="1" t="s">
        <v>530</v>
      </c>
      <c r="AL193" s="1">
        <v>1200</v>
      </c>
      <c r="AM193" s="1" t="s">
        <v>172</v>
      </c>
      <c r="AN193" s="1">
        <v>100</v>
      </c>
      <c r="AO193" s="1" t="s">
        <v>113</v>
      </c>
      <c r="AP193" s="1" t="s">
        <v>113</v>
      </c>
      <c r="AQ193" s="1" t="s">
        <v>157</v>
      </c>
      <c r="AR193" s="1" t="s">
        <v>157</v>
      </c>
      <c r="AS193" s="1" t="s">
        <v>157</v>
      </c>
      <c r="AT193" s="1" t="s">
        <v>1483</v>
      </c>
      <c r="AU193" s="1" t="s">
        <v>106</v>
      </c>
      <c r="AV193" s="1" t="s">
        <v>106</v>
      </c>
      <c r="AW193" s="1" t="s">
        <v>2602</v>
      </c>
      <c r="AX193" s="1" t="s">
        <v>165</v>
      </c>
      <c r="AY193" s="1">
        <v>0</v>
      </c>
      <c r="AZ193" s="1" t="s">
        <v>113</v>
      </c>
      <c r="BA193" s="1" t="s">
        <v>113</v>
      </c>
      <c r="BB193" s="1" t="s">
        <v>125</v>
      </c>
      <c r="BC193" s="1" t="s">
        <v>166</v>
      </c>
      <c r="BD193" s="1">
        <v>0</v>
      </c>
      <c r="BE193" s="1">
        <v>100</v>
      </c>
      <c r="BF193" s="1" t="s">
        <v>630</v>
      </c>
      <c r="BG193" s="1" t="s">
        <v>383</v>
      </c>
      <c r="BH193" s="1" t="s">
        <v>569</v>
      </c>
      <c r="BI193" s="1" t="s">
        <v>569</v>
      </c>
      <c r="BJ193" s="1" t="s">
        <v>208</v>
      </c>
      <c r="BK193" s="1">
        <v>10</v>
      </c>
      <c r="BL193" s="1" t="s">
        <v>270</v>
      </c>
      <c r="BM193" s="1" t="s">
        <v>210</v>
      </c>
      <c r="BN193" s="1">
        <v>6</v>
      </c>
      <c r="BO193" s="1">
        <v>0</v>
      </c>
      <c r="BP193" s="1" t="s">
        <v>124</v>
      </c>
      <c r="BQ193" s="1" t="s">
        <v>127</v>
      </c>
      <c r="BR193" s="1" t="s">
        <v>2603</v>
      </c>
      <c r="BS193" s="1" t="s">
        <v>2604</v>
      </c>
      <c r="BT193" s="1" t="s">
        <v>172</v>
      </c>
      <c r="BU193" s="1" t="s">
        <v>239</v>
      </c>
      <c r="BV193" s="1" t="s">
        <v>2605</v>
      </c>
      <c r="BW193" s="1" t="s">
        <v>134</v>
      </c>
      <c r="BX193" s="1" t="s">
        <v>325</v>
      </c>
      <c r="BY193" s="1" t="s">
        <v>1525</v>
      </c>
      <c r="BZ193" s="1" t="s">
        <v>2606</v>
      </c>
      <c r="CA193" s="1">
        <v>1080</v>
      </c>
      <c r="CB193" s="1" t="s">
        <v>244</v>
      </c>
      <c r="CC193" s="1" t="s">
        <v>217</v>
      </c>
      <c r="CE193" s="1" t="s">
        <v>219</v>
      </c>
      <c r="CF193" s="1" t="s">
        <v>2607</v>
      </c>
      <c r="CG193" s="1">
        <v>136028</v>
      </c>
      <c r="CH193" s="1" t="s">
        <v>2608</v>
      </c>
      <c r="CI193" s="1" t="s">
        <v>2609</v>
      </c>
      <c r="CJ193" s="1">
        <v>0</v>
      </c>
      <c r="CK193" s="1">
        <v>0</v>
      </c>
      <c r="CL193" s="1">
        <v>0</v>
      </c>
      <c r="CM193" s="1">
        <v>0</v>
      </c>
      <c r="CN193" s="1">
        <v>0</v>
      </c>
      <c r="CO193" s="1" t="s">
        <v>2610</v>
      </c>
      <c r="CP193" s="1">
        <v>0</v>
      </c>
      <c r="CQ193" s="1">
        <v>0</v>
      </c>
      <c r="CR193" s="1" t="s">
        <v>139</v>
      </c>
      <c r="CS193" s="1" t="s">
        <v>140</v>
      </c>
      <c r="CT193" s="1" t="s">
        <v>282</v>
      </c>
      <c r="CV193" s="1" t="s">
        <v>2611</v>
      </c>
      <c r="CW193" s="1" t="s">
        <v>251</v>
      </c>
      <c r="CX193" s="1" t="s">
        <v>114</v>
      </c>
      <c r="CY193" s="1" t="s">
        <v>276</v>
      </c>
      <c r="CZ193" s="1" t="s">
        <v>144</v>
      </c>
      <c r="DA193" s="1" t="s">
        <v>145</v>
      </c>
    </row>
    <row r="194" spans="1:105" s="3" customFormat="1" ht="11.25" customHeight="1" x14ac:dyDescent="0.2">
      <c r="A194" s="1">
        <v>41</v>
      </c>
      <c r="B194" s="1" t="s">
        <v>2613</v>
      </c>
      <c r="C194" s="1" t="s">
        <v>2612</v>
      </c>
      <c r="D194" s="1">
        <v>4902</v>
      </c>
      <c r="E194" s="2" t="s">
        <v>4201</v>
      </c>
      <c r="F194" s="1" t="s">
        <v>113</v>
      </c>
      <c r="G194" s="1" t="s">
        <v>1799</v>
      </c>
      <c r="H194" s="1" t="s">
        <v>2614</v>
      </c>
      <c r="I194" s="1" t="s">
        <v>193</v>
      </c>
      <c r="J194" s="1" t="s">
        <v>113</v>
      </c>
      <c r="L194" s="1" t="s">
        <v>111</v>
      </c>
      <c r="M194" s="1" t="s">
        <v>705</v>
      </c>
      <c r="N194" s="1" t="s">
        <v>112</v>
      </c>
      <c r="O194" s="1" t="s">
        <v>113</v>
      </c>
      <c r="P194" s="1" t="s">
        <v>113</v>
      </c>
      <c r="Q194" s="1" t="s">
        <v>152</v>
      </c>
      <c r="R194" s="1" t="s">
        <v>709</v>
      </c>
      <c r="S194" s="1" t="s">
        <v>2615</v>
      </c>
      <c r="T194" s="1" t="s">
        <v>106</v>
      </c>
      <c r="U194" s="1">
        <v>2019</v>
      </c>
      <c r="V194" s="1" t="s">
        <v>2616</v>
      </c>
      <c r="W194" s="1" t="s">
        <v>755</v>
      </c>
      <c r="X194" s="1" t="s">
        <v>113</v>
      </c>
      <c r="Y194" s="1" t="s">
        <v>709</v>
      </c>
      <c r="Z194" s="1">
        <v>100</v>
      </c>
      <c r="AA194" s="1" t="s">
        <v>116</v>
      </c>
      <c r="AB194" s="1" t="s">
        <v>128</v>
      </c>
      <c r="AC194" s="1" t="s">
        <v>118</v>
      </c>
      <c r="AD194" s="1">
        <v>40</v>
      </c>
      <c r="AE194" s="1" t="s">
        <v>116</v>
      </c>
      <c r="AF194" s="1">
        <v>667</v>
      </c>
      <c r="AG194" s="1" t="s">
        <v>113</v>
      </c>
      <c r="AH194" s="1">
        <v>30</v>
      </c>
      <c r="AI194" s="1">
        <v>25</v>
      </c>
      <c r="AJ194" s="1">
        <v>0</v>
      </c>
      <c r="AK194" s="1" t="s">
        <v>232</v>
      </c>
      <c r="AL194" s="1">
        <v>0</v>
      </c>
      <c r="AM194" s="1" t="s">
        <v>120</v>
      </c>
      <c r="AN194" s="1">
        <v>0</v>
      </c>
      <c r="AO194" s="1" t="s">
        <v>113</v>
      </c>
      <c r="AP194" s="1" t="s">
        <v>106</v>
      </c>
      <c r="AQ194" s="1" t="s">
        <v>2617</v>
      </c>
      <c r="AR194" s="1" t="s">
        <v>2618</v>
      </c>
      <c r="AS194" s="1" t="s">
        <v>2619</v>
      </c>
      <c r="AT194" s="1" t="s">
        <v>2620</v>
      </c>
      <c r="AU194" s="1" t="s">
        <v>106</v>
      </c>
      <c r="AV194" s="1" t="s">
        <v>113</v>
      </c>
      <c r="AW194" s="1" t="s">
        <v>164</v>
      </c>
      <c r="AX194" s="1" t="s">
        <v>550</v>
      </c>
      <c r="AY194" s="1">
        <v>0</v>
      </c>
      <c r="AZ194" s="1" t="s">
        <v>106</v>
      </c>
      <c r="BA194" s="1" t="s">
        <v>113</v>
      </c>
      <c r="BB194" s="1" t="s">
        <v>125</v>
      </c>
      <c r="BC194" s="1" t="s">
        <v>1899</v>
      </c>
      <c r="BD194" s="1">
        <v>0</v>
      </c>
      <c r="BE194" s="1">
        <v>100</v>
      </c>
      <c r="BF194" s="1" t="s">
        <v>167</v>
      </c>
      <c r="BG194" s="1" t="s">
        <v>268</v>
      </c>
      <c r="BH194" s="1" t="s">
        <v>269</v>
      </c>
      <c r="BI194" s="1" t="s">
        <v>269</v>
      </c>
      <c r="BJ194" s="1" t="s">
        <v>208</v>
      </c>
      <c r="BK194" s="1">
        <v>40</v>
      </c>
      <c r="BL194" s="1" t="s">
        <v>167</v>
      </c>
      <c r="BM194" s="1" t="s">
        <v>271</v>
      </c>
      <c r="BN194" s="5" t="s">
        <v>1024</v>
      </c>
      <c r="BO194" s="1">
        <v>0</v>
      </c>
      <c r="BP194" s="1" t="s">
        <v>115</v>
      </c>
      <c r="BQ194" s="1" t="s">
        <v>1469</v>
      </c>
      <c r="BR194" s="1" t="s">
        <v>2621</v>
      </c>
      <c r="BS194" s="1" t="s">
        <v>2622</v>
      </c>
      <c r="BT194" s="1" t="s">
        <v>172</v>
      </c>
      <c r="BU194" s="1" t="s">
        <v>2479</v>
      </c>
      <c r="BV194" s="1" t="s">
        <v>1825</v>
      </c>
      <c r="BW194" s="1" t="s">
        <v>134</v>
      </c>
      <c r="BX194" s="1" t="s">
        <v>1669</v>
      </c>
      <c r="BY194" s="1" t="s">
        <v>135</v>
      </c>
      <c r="BZ194" s="1" t="s">
        <v>2623</v>
      </c>
      <c r="CA194" s="1">
        <v>667</v>
      </c>
      <c r="CB194" s="1" t="s">
        <v>176</v>
      </c>
      <c r="CC194" s="1" t="s">
        <v>177</v>
      </c>
      <c r="CD194" s="1" t="s">
        <v>2624</v>
      </c>
      <c r="CE194" s="1" t="s">
        <v>219</v>
      </c>
      <c r="CF194" s="1">
        <v>0</v>
      </c>
      <c r="CG194" s="1" t="s">
        <v>2625</v>
      </c>
      <c r="CH194" s="1">
        <v>310</v>
      </c>
      <c r="CI194" s="1">
        <v>310</v>
      </c>
      <c r="CJ194" s="1">
        <v>0</v>
      </c>
      <c r="CK194" s="1">
        <v>0</v>
      </c>
      <c r="CL194" s="1">
        <v>0</v>
      </c>
      <c r="CM194" s="1">
        <v>310</v>
      </c>
      <c r="CN194" s="1">
        <v>0</v>
      </c>
      <c r="CO194" s="1">
        <v>0</v>
      </c>
      <c r="CP194" s="1">
        <v>0</v>
      </c>
      <c r="CQ194" s="1">
        <v>0</v>
      </c>
      <c r="CR194" s="1" t="s">
        <v>139</v>
      </c>
      <c r="CS194" s="1" t="s">
        <v>140</v>
      </c>
      <c r="CT194" s="1" t="s">
        <v>282</v>
      </c>
      <c r="CW194" s="1" t="s">
        <v>184</v>
      </c>
      <c r="CX194" s="1" t="s">
        <v>2626</v>
      </c>
      <c r="CY194" s="1" t="s">
        <v>276</v>
      </c>
      <c r="CZ194" s="1" t="s">
        <v>144</v>
      </c>
      <c r="DA194" s="1" t="s">
        <v>145</v>
      </c>
    </row>
    <row r="195" spans="1:105" s="3" customFormat="1" ht="11.25" customHeight="1" x14ac:dyDescent="0.2">
      <c r="A195" s="1">
        <v>41</v>
      </c>
      <c r="B195" s="1" t="s">
        <v>2628</v>
      </c>
      <c r="C195" s="1" t="s">
        <v>2627</v>
      </c>
      <c r="D195" s="1">
        <v>4911</v>
      </c>
      <c r="E195" s="2" t="s">
        <v>4201</v>
      </c>
      <c r="F195" s="1" t="s">
        <v>113</v>
      </c>
      <c r="H195" s="1" t="s">
        <v>143</v>
      </c>
      <c r="I195" s="1" t="s">
        <v>229</v>
      </c>
      <c r="J195" s="1" t="s">
        <v>113</v>
      </c>
      <c r="L195" s="1" t="s">
        <v>111</v>
      </c>
      <c r="M195" s="1" t="s">
        <v>736</v>
      </c>
      <c r="N195" s="1" t="s">
        <v>737</v>
      </c>
      <c r="O195" s="1" t="s">
        <v>106</v>
      </c>
      <c r="P195" s="1" t="s">
        <v>113</v>
      </c>
      <c r="Q195" s="1" t="s">
        <v>195</v>
      </c>
      <c r="R195" s="1" t="s">
        <v>2629</v>
      </c>
      <c r="S195" s="1" t="s">
        <v>114</v>
      </c>
      <c r="T195" s="1" t="s">
        <v>106</v>
      </c>
      <c r="U195" s="1" t="s">
        <v>2630</v>
      </c>
      <c r="V195" s="1" t="s">
        <v>2631</v>
      </c>
      <c r="W195" s="1" t="s">
        <v>115</v>
      </c>
      <c r="X195" s="1" t="s">
        <v>113</v>
      </c>
      <c r="Y195" s="1" t="s">
        <v>157</v>
      </c>
      <c r="Z195" s="1">
        <v>100</v>
      </c>
      <c r="AA195" s="1" t="s">
        <v>116</v>
      </c>
      <c r="AB195" s="1" t="s">
        <v>128</v>
      </c>
      <c r="AC195" s="1" t="s">
        <v>118</v>
      </c>
      <c r="AD195" s="1">
        <v>50</v>
      </c>
      <c r="AE195" s="1" t="s">
        <v>116</v>
      </c>
      <c r="AF195" s="1">
        <v>470</v>
      </c>
      <c r="AG195" s="1" t="s">
        <v>113</v>
      </c>
      <c r="AH195" s="1">
        <v>0</v>
      </c>
      <c r="AI195" s="1">
        <v>0</v>
      </c>
      <c r="AJ195" s="1">
        <v>0</v>
      </c>
      <c r="AK195" s="1" t="s">
        <v>408</v>
      </c>
      <c r="AL195" s="1">
        <v>20</v>
      </c>
      <c r="AM195" s="1" t="s">
        <v>363</v>
      </c>
      <c r="AN195" s="1">
        <v>0</v>
      </c>
      <c r="AO195" s="1" t="s">
        <v>113</v>
      </c>
      <c r="AP195" s="1" t="s">
        <v>106</v>
      </c>
      <c r="AQ195" s="1" t="s">
        <v>114</v>
      </c>
      <c r="AR195" s="1" t="s">
        <v>2632</v>
      </c>
      <c r="AS195" s="1" t="s">
        <v>2633</v>
      </c>
      <c r="AT195" s="1" t="s">
        <v>1752</v>
      </c>
      <c r="AU195" s="1" t="s">
        <v>113</v>
      </c>
      <c r="AV195" s="1" t="s">
        <v>113</v>
      </c>
      <c r="AW195" s="1" t="s">
        <v>164</v>
      </c>
      <c r="AX195" s="1" t="s">
        <v>165</v>
      </c>
      <c r="AY195" s="1">
        <v>0</v>
      </c>
      <c r="AZ195" s="1" t="s">
        <v>113</v>
      </c>
      <c r="BA195" s="1" t="s">
        <v>113</v>
      </c>
      <c r="BB195" s="1" t="s">
        <v>125</v>
      </c>
      <c r="BC195" s="1" t="s">
        <v>166</v>
      </c>
      <c r="BD195" s="1">
        <v>0</v>
      </c>
      <c r="BE195" s="1">
        <v>100</v>
      </c>
      <c r="BF195" s="1" t="s">
        <v>167</v>
      </c>
      <c r="BG195" s="1" t="s">
        <v>116</v>
      </c>
      <c r="BH195" s="1" t="s">
        <v>168</v>
      </c>
      <c r="BI195" s="1" t="s">
        <v>207</v>
      </c>
      <c r="BJ195" s="1" t="s">
        <v>208</v>
      </c>
      <c r="BK195" s="1">
        <v>50</v>
      </c>
      <c r="BL195" s="1" t="s">
        <v>167</v>
      </c>
      <c r="BM195" s="1" t="s">
        <v>210</v>
      </c>
      <c r="BN195" s="1" t="s">
        <v>143</v>
      </c>
      <c r="BO195" s="1">
        <v>6</v>
      </c>
      <c r="BP195" s="1" t="s">
        <v>115</v>
      </c>
      <c r="BQ195" s="1" t="s">
        <v>1338</v>
      </c>
      <c r="BR195" s="1" t="s">
        <v>2634</v>
      </c>
      <c r="BS195" s="1" t="s">
        <v>2635</v>
      </c>
      <c r="BT195" s="1" t="s">
        <v>172</v>
      </c>
      <c r="BU195" s="1" t="s">
        <v>132</v>
      </c>
      <c r="BV195" s="1" t="s">
        <v>2636</v>
      </c>
      <c r="BW195" s="1" t="s">
        <v>134</v>
      </c>
      <c r="BX195" s="1" t="s">
        <v>143</v>
      </c>
      <c r="BY195" s="1" t="s">
        <v>299</v>
      </c>
      <c r="BZ195" s="1" t="s">
        <v>157</v>
      </c>
      <c r="CA195" s="1">
        <v>720</v>
      </c>
      <c r="CB195" s="1" t="s">
        <v>244</v>
      </c>
      <c r="CC195" s="1" t="s">
        <v>177</v>
      </c>
      <c r="CD195" s="1" t="s">
        <v>2637</v>
      </c>
      <c r="CE195" s="1" t="s">
        <v>179</v>
      </c>
      <c r="CF195" s="6">
        <v>68730.649999999994</v>
      </c>
      <c r="CG195" s="6">
        <v>668390.46</v>
      </c>
      <c r="CH195" s="1">
        <v>300</v>
      </c>
      <c r="CI195" s="1">
        <v>240</v>
      </c>
      <c r="CJ195" s="1">
        <v>238</v>
      </c>
      <c r="CK195" s="1">
        <v>150</v>
      </c>
      <c r="CL195" s="1">
        <v>0</v>
      </c>
      <c r="CM195" s="1">
        <v>0</v>
      </c>
      <c r="CN195" s="1">
        <v>120</v>
      </c>
      <c r="CO195" s="1">
        <v>0</v>
      </c>
      <c r="CP195" s="1">
        <v>80</v>
      </c>
      <c r="CQ195" s="1">
        <v>40</v>
      </c>
      <c r="CR195" s="1" t="s">
        <v>139</v>
      </c>
      <c r="CS195" s="1" t="s">
        <v>308</v>
      </c>
      <c r="CT195" s="1" t="s">
        <v>223</v>
      </c>
      <c r="CV195" s="1" t="s">
        <v>849</v>
      </c>
      <c r="CW195" s="1" t="s">
        <v>141</v>
      </c>
      <c r="CX195" s="1" t="s">
        <v>2638</v>
      </c>
      <c r="CY195" s="1" t="s">
        <v>143</v>
      </c>
      <c r="CZ195" s="1" t="s">
        <v>144</v>
      </c>
      <c r="DA195" s="1" t="s">
        <v>145</v>
      </c>
    </row>
    <row r="196" spans="1:105" s="3" customFormat="1" ht="11.25" customHeight="1" x14ac:dyDescent="0.2">
      <c r="A196" s="1">
        <v>41</v>
      </c>
      <c r="B196" s="1" t="s">
        <v>2640</v>
      </c>
      <c r="C196" s="1" t="s">
        <v>2639</v>
      </c>
      <c r="D196" s="1">
        <v>13655</v>
      </c>
      <c r="E196" s="2" t="s">
        <v>4201</v>
      </c>
      <c r="F196" s="1" t="s">
        <v>113</v>
      </c>
      <c r="G196" s="1" t="s">
        <v>190</v>
      </c>
      <c r="H196" s="1" t="s">
        <v>1892</v>
      </c>
      <c r="I196" s="1" t="s">
        <v>229</v>
      </c>
      <c r="J196" s="1" t="s">
        <v>113</v>
      </c>
      <c r="K196" s="1" t="s">
        <v>1892</v>
      </c>
      <c r="L196" s="1" t="s">
        <v>2641</v>
      </c>
      <c r="M196" s="1" t="s">
        <v>2642</v>
      </c>
      <c r="N196" s="1" t="s">
        <v>112</v>
      </c>
      <c r="O196" s="1" t="s">
        <v>106</v>
      </c>
      <c r="P196" s="1" t="s">
        <v>106</v>
      </c>
      <c r="Q196" s="1" t="s">
        <v>195</v>
      </c>
      <c r="R196" s="1" t="s">
        <v>2643</v>
      </c>
      <c r="S196" s="1" t="s">
        <v>290</v>
      </c>
      <c r="T196" s="1" t="s">
        <v>106</v>
      </c>
      <c r="U196" s="1" t="s">
        <v>2644</v>
      </c>
      <c r="V196" s="1" t="s">
        <v>2645</v>
      </c>
      <c r="W196" s="1" t="s">
        <v>755</v>
      </c>
      <c r="X196" s="1" t="s">
        <v>113</v>
      </c>
      <c r="Y196" s="1" t="s">
        <v>290</v>
      </c>
      <c r="Z196" s="1">
        <v>10</v>
      </c>
      <c r="AA196" s="1" t="s">
        <v>132</v>
      </c>
      <c r="AB196" s="1" t="s">
        <v>128</v>
      </c>
      <c r="AC196" s="1" t="s">
        <v>118</v>
      </c>
      <c r="AD196" s="1">
        <v>60</v>
      </c>
      <c r="AE196" s="1" t="s">
        <v>116</v>
      </c>
      <c r="AF196" s="1">
        <v>200</v>
      </c>
      <c r="AG196" s="1" t="s">
        <v>113</v>
      </c>
      <c r="AH196" s="1">
        <v>0</v>
      </c>
      <c r="AI196" s="1">
        <v>0</v>
      </c>
      <c r="AJ196" s="1">
        <v>0</v>
      </c>
      <c r="AK196" s="1" t="s">
        <v>648</v>
      </c>
      <c r="AL196" s="1">
        <v>0</v>
      </c>
      <c r="AM196" s="1" t="s">
        <v>2646</v>
      </c>
      <c r="AO196" s="1" t="s">
        <v>113</v>
      </c>
      <c r="AP196" s="1" t="s">
        <v>113</v>
      </c>
      <c r="AQ196" s="1" t="s">
        <v>290</v>
      </c>
      <c r="AR196" s="1" t="s">
        <v>290</v>
      </c>
      <c r="AS196" s="1" t="s">
        <v>290</v>
      </c>
      <c r="AT196" s="1" t="s">
        <v>628</v>
      </c>
      <c r="AU196" s="1" t="s">
        <v>113</v>
      </c>
      <c r="AV196" s="1" t="s">
        <v>113</v>
      </c>
      <c r="AW196" s="1" t="s">
        <v>164</v>
      </c>
      <c r="AX196" s="1" t="s">
        <v>165</v>
      </c>
      <c r="AY196" s="1">
        <v>0</v>
      </c>
      <c r="AZ196" s="1" t="s">
        <v>113</v>
      </c>
      <c r="BA196" s="1" t="s">
        <v>113</v>
      </c>
      <c r="BB196" s="1" t="s">
        <v>125</v>
      </c>
      <c r="BC196" s="1" t="s">
        <v>166</v>
      </c>
      <c r="BD196" s="1">
        <v>0</v>
      </c>
      <c r="BE196" s="1">
        <v>99</v>
      </c>
      <c r="BF196" s="1" t="s">
        <v>167</v>
      </c>
      <c r="BG196" s="1" t="s">
        <v>1188</v>
      </c>
      <c r="BH196" s="1" t="s">
        <v>569</v>
      </c>
      <c r="BI196" s="1" t="s">
        <v>569</v>
      </c>
      <c r="BJ196" s="1" t="s">
        <v>208</v>
      </c>
      <c r="BK196" s="1">
        <v>60</v>
      </c>
      <c r="BL196" s="1" t="s">
        <v>270</v>
      </c>
      <c r="BM196" s="1" t="s">
        <v>210</v>
      </c>
      <c r="BN196" s="1" t="s">
        <v>143</v>
      </c>
      <c r="BO196" s="1">
        <v>10</v>
      </c>
      <c r="BP196" s="1" t="s">
        <v>115</v>
      </c>
      <c r="BQ196" s="1" t="s">
        <v>2647</v>
      </c>
      <c r="BR196" s="1" t="s">
        <v>2648</v>
      </c>
      <c r="BS196" s="1" t="s">
        <v>2649</v>
      </c>
      <c r="BT196" s="1" t="s">
        <v>172</v>
      </c>
      <c r="BU196" s="1" t="s">
        <v>132</v>
      </c>
      <c r="BV196" s="1" t="s">
        <v>2650</v>
      </c>
      <c r="BW196" s="1" t="s">
        <v>298</v>
      </c>
      <c r="BX196" s="1" t="s">
        <v>325</v>
      </c>
      <c r="BY196" s="1" t="s">
        <v>299</v>
      </c>
      <c r="BZ196" s="1" t="s">
        <v>290</v>
      </c>
      <c r="CA196" s="1">
        <v>0</v>
      </c>
      <c r="CB196" s="1" t="s">
        <v>176</v>
      </c>
      <c r="CC196" s="1" t="s">
        <v>217</v>
      </c>
      <c r="CE196" s="1" t="s">
        <v>219</v>
      </c>
      <c r="CF196" s="1">
        <v>1001186.03</v>
      </c>
      <c r="CG196" s="8">
        <v>1569397.66</v>
      </c>
      <c r="CH196" s="1">
        <v>0</v>
      </c>
      <c r="CI196" s="1">
        <v>0</v>
      </c>
      <c r="CJ196" s="1">
        <v>0</v>
      </c>
      <c r="CK196" s="1">
        <v>200</v>
      </c>
      <c r="CL196" s="1">
        <v>0</v>
      </c>
      <c r="CM196" s="1">
        <v>0</v>
      </c>
      <c r="CN196" s="1">
        <v>0</v>
      </c>
      <c r="CO196" s="1">
        <v>0</v>
      </c>
      <c r="CP196" s="1">
        <v>129</v>
      </c>
      <c r="CQ196" s="1">
        <v>0</v>
      </c>
      <c r="CR196" s="1" t="s">
        <v>139</v>
      </c>
      <c r="CS196" s="1" t="s">
        <v>140</v>
      </c>
      <c r="CT196" s="1" t="s">
        <v>223</v>
      </c>
      <c r="CV196" s="1" t="s">
        <v>1272</v>
      </c>
      <c r="CW196" s="1" t="s">
        <v>184</v>
      </c>
      <c r="CX196" s="1" t="s">
        <v>1892</v>
      </c>
      <c r="CY196" s="1" t="s">
        <v>652</v>
      </c>
      <c r="CZ196" s="1" t="s">
        <v>144</v>
      </c>
      <c r="DA196" s="1" t="s">
        <v>145</v>
      </c>
    </row>
    <row r="197" spans="1:105" s="3" customFormat="1" ht="11.25" customHeight="1" x14ac:dyDescent="0.2">
      <c r="A197" s="1">
        <v>41</v>
      </c>
      <c r="B197" s="1" t="s">
        <v>2652</v>
      </c>
      <c r="C197" s="1" t="s">
        <v>2651</v>
      </c>
      <c r="D197" s="1">
        <v>13572</v>
      </c>
      <c r="E197" s="2" t="s">
        <v>4201</v>
      </c>
      <c r="F197" s="1" t="s">
        <v>113</v>
      </c>
      <c r="G197" s="1" t="s">
        <v>190</v>
      </c>
      <c r="H197" s="1" t="s">
        <v>682</v>
      </c>
      <c r="I197" s="1" t="s">
        <v>229</v>
      </c>
      <c r="J197" s="1" t="s">
        <v>229</v>
      </c>
      <c r="K197" s="1" t="s">
        <v>2653</v>
      </c>
      <c r="L197" s="1" t="s">
        <v>149</v>
      </c>
      <c r="M197" s="1" t="s">
        <v>2654</v>
      </c>
      <c r="N197" s="1" t="s">
        <v>1509</v>
      </c>
      <c r="O197" s="1" t="s">
        <v>106</v>
      </c>
      <c r="P197" s="1" t="s">
        <v>113</v>
      </c>
      <c r="Q197" s="1" t="s">
        <v>195</v>
      </c>
      <c r="R197" s="1" t="s">
        <v>2655</v>
      </c>
      <c r="S197" s="1" t="s">
        <v>114</v>
      </c>
      <c r="T197" s="1" t="s">
        <v>106</v>
      </c>
      <c r="U197" s="1" t="s">
        <v>114</v>
      </c>
      <c r="V197" s="1" t="s">
        <v>2656</v>
      </c>
      <c r="W197" s="1" t="s">
        <v>199</v>
      </c>
      <c r="X197" s="1" t="s">
        <v>113</v>
      </c>
      <c r="Y197" s="1" t="s">
        <v>114</v>
      </c>
      <c r="Z197" s="1">
        <v>100</v>
      </c>
      <c r="AA197" s="1" t="s">
        <v>132</v>
      </c>
      <c r="AB197" s="1" t="s">
        <v>128</v>
      </c>
      <c r="AC197" s="1" t="s">
        <v>118</v>
      </c>
      <c r="AD197" s="1">
        <v>30</v>
      </c>
      <c r="AE197" s="1" t="s">
        <v>132</v>
      </c>
      <c r="AF197" s="1">
        <v>2000</v>
      </c>
      <c r="AG197" s="1" t="s">
        <v>106</v>
      </c>
      <c r="AH197" s="1">
        <v>61</v>
      </c>
      <c r="AI197" s="1">
        <v>28</v>
      </c>
      <c r="AJ197" s="1">
        <v>10</v>
      </c>
      <c r="AK197" s="1" t="s">
        <v>232</v>
      </c>
      <c r="AL197" s="1">
        <v>3500</v>
      </c>
      <c r="AM197" s="1" t="s">
        <v>120</v>
      </c>
      <c r="AO197" s="1" t="s">
        <v>113</v>
      </c>
      <c r="AP197" s="1" t="s">
        <v>106</v>
      </c>
      <c r="AQ197" s="1" t="s">
        <v>2657</v>
      </c>
      <c r="AR197" s="1" t="s">
        <v>2658</v>
      </c>
      <c r="AS197" s="1" t="s">
        <v>2659</v>
      </c>
      <c r="AT197" s="1" t="s">
        <v>2231</v>
      </c>
      <c r="AU197" s="1" t="s">
        <v>106</v>
      </c>
      <c r="AV197" s="1" t="s">
        <v>106</v>
      </c>
      <c r="AW197" s="1" t="s">
        <v>205</v>
      </c>
      <c r="AX197" s="1" t="s">
        <v>1113</v>
      </c>
      <c r="AY197" s="1">
        <v>0</v>
      </c>
      <c r="AZ197" s="1" t="s">
        <v>113</v>
      </c>
      <c r="BA197" s="1" t="s">
        <v>113</v>
      </c>
      <c r="BB197" s="1" t="s">
        <v>125</v>
      </c>
      <c r="BC197" s="1" t="s">
        <v>166</v>
      </c>
      <c r="BD197" s="1">
        <v>0</v>
      </c>
      <c r="BE197" s="1">
        <v>100</v>
      </c>
      <c r="BF197" s="1" t="s">
        <v>167</v>
      </c>
      <c r="BG197" s="1" t="s">
        <v>268</v>
      </c>
      <c r="BH197" s="1" t="s">
        <v>269</v>
      </c>
      <c r="BI197" s="1" t="s">
        <v>269</v>
      </c>
      <c r="BJ197" s="1" t="s">
        <v>208</v>
      </c>
      <c r="BK197" s="1">
        <v>30</v>
      </c>
      <c r="BL197" s="1" t="s">
        <v>167</v>
      </c>
      <c r="BM197" s="1" t="s">
        <v>472</v>
      </c>
      <c r="BN197" s="1" t="s">
        <v>143</v>
      </c>
      <c r="BO197" s="1" t="s">
        <v>143</v>
      </c>
      <c r="BP197" s="1" t="s">
        <v>124</v>
      </c>
      <c r="BQ197" s="1">
        <v>0</v>
      </c>
      <c r="BR197" s="1" t="s">
        <v>2660</v>
      </c>
      <c r="BS197" s="1" t="s">
        <v>2661</v>
      </c>
      <c r="BT197" s="1" t="s">
        <v>172</v>
      </c>
      <c r="BU197" s="1" t="s">
        <v>239</v>
      </c>
      <c r="BV197" s="1" t="s">
        <v>1418</v>
      </c>
      <c r="BW197" s="1" t="s">
        <v>298</v>
      </c>
      <c r="BX197" s="1" t="s">
        <v>325</v>
      </c>
      <c r="BY197" s="1" t="s">
        <v>299</v>
      </c>
      <c r="BZ197" s="1" t="s">
        <v>2662</v>
      </c>
      <c r="CA197" s="1">
        <v>2000</v>
      </c>
      <c r="CB197" s="1" t="s">
        <v>244</v>
      </c>
      <c r="CC197" s="1" t="s">
        <v>217</v>
      </c>
      <c r="CD197" s="1" t="s">
        <v>2663</v>
      </c>
      <c r="CE197" s="1" t="s">
        <v>219</v>
      </c>
      <c r="CF197" s="1">
        <v>175395</v>
      </c>
      <c r="CG197" s="1">
        <v>0</v>
      </c>
      <c r="CH197" s="1">
        <v>1290610</v>
      </c>
      <c r="CI197" s="1">
        <v>144418</v>
      </c>
      <c r="CJ197" s="1">
        <v>499000</v>
      </c>
      <c r="CK197" s="1">
        <v>0</v>
      </c>
      <c r="CL197" s="1">
        <v>133309</v>
      </c>
      <c r="CM197" s="1">
        <v>0</v>
      </c>
      <c r="CN197" s="1">
        <v>817024</v>
      </c>
      <c r="CO197" s="1">
        <v>0</v>
      </c>
      <c r="CP197" s="1">
        <v>0</v>
      </c>
      <c r="CQ197" s="1">
        <v>0</v>
      </c>
      <c r="CR197" s="1" t="s">
        <v>139</v>
      </c>
      <c r="CS197" s="1" t="s">
        <v>140</v>
      </c>
      <c r="CT197" s="1" t="s">
        <v>2664</v>
      </c>
      <c r="CW197" s="1" t="s">
        <v>141</v>
      </c>
      <c r="CX197" s="1" t="s">
        <v>2660</v>
      </c>
      <c r="CY197" s="1" t="s">
        <v>143</v>
      </c>
      <c r="CZ197" s="1" t="s">
        <v>144</v>
      </c>
      <c r="DA197" s="1" t="s">
        <v>145</v>
      </c>
    </row>
    <row r="198" spans="1:105" s="3" customFormat="1" ht="11.25" customHeight="1" x14ac:dyDescent="0.2">
      <c r="A198" s="1">
        <v>41</v>
      </c>
      <c r="B198" s="1" t="s">
        <v>2666</v>
      </c>
      <c r="C198" s="1" t="s">
        <v>2665</v>
      </c>
      <c r="D198" s="1">
        <v>38050</v>
      </c>
      <c r="E198" s="2" t="s">
        <v>4201</v>
      </c>
      <c r="F198" s="1" t="s">
        <v>113</v>
      </c>
      <c r="G198" s="1" t="s">
        <v>190</v>
      </c>
      <c r="H198" s="1" t="s">
        <v>143</v>
      </c>
      <c r="I198" s="1" t="s">
        <v>229</v>
      </c>
      <c r="J198" s="1" t="s">
        <v>229</v>
      </c>
      <c r="K198" s="1" t="s">
        <v>143</v>
      </c>
      <c r="L198" s="1" t="s">
        <v>149</v>
      </c>
      <c r="M198" s="1" t="s">
        <v>2667</v>
      </c>
      <c r="N198" s="1" t="s">
        <v>112</v>
      </c>
      <c r="O198" s="1" t="s">
        <v>106</v>
      </c>
      <c r="P198" s="1" t="s">
        <v>106</v>
      </c>
      <c r="Q198" s="1" t="s">
        <v>195</v>
      </c>
      <c r="R198" s="1" t="s">
        <v>2668</v>
      </c>
      <c r="S198" s="1" t="s">
        <v>2669</v>
      </c>
      <c r="T198" s="1" t="s">
        <v>113</v>
      </c>
      <c r="U198" s="1" t="s">
        <v>143</v>
      </c>
      <c r="W198" s="1" t="s">
        <v>115</v>
      </c>
      <c r="X198" s="1" t="s">
        <v>113</v>
      </c>
      <c r="Y198" s="1" t="s">
        <v>2670</v>
      </c>
      <c r="Z198" s="1">
        <v>100</v>
      </c>
      <c r="AA198" s="1" t="s">
        <v>132</v>
      </c>
      <c r="AB198" s="1" t="s">
        <v>128</v>
      </c>
      <c r="AC198" s="1" t="s">
        <v>128</v>
      </c>
      <c r="AD198" s="1">
        <v>0</v>
      </c>
      <c r="AE198" s="1" t="s">
        <v>143</v>
      </c>
      <c r="AF198" s="1">
        <v>8160</v>
      </c>
      <c r="AG198" s="1" t="s">
        <v>106</v>
      </c>
      <c r="AH198" s="1">
        <v>81</v>
      </c>
      <c r="AI198" s="1">
        <v>17</v>
      </c>
      <c r="AJ198" s="1">
        <v>0</v>
      </c>
      <c r="AK198" s="1" t="s">
        <v>119</v>
      </c>
      <c r="AL198" s="1">
        <v>0</v>
      </c>
      <c r="AM198" s="1" t="s">
        <v>2671</v>
      </c>
      <c r="AN198" s="1">
        <v>0</v>
      </c>
      <c r="AO198" s="1" t="s">
        <v>113</v>
      </c>
      <c r="AP198" s="1" t="s">
        <v>113</v>
      </c>
      <c r="AQ198" s="1" t="s">
        <v>114</v>
      </c>
      <c r="AR198" s="1" t="s">
        <v>114</v>
      </c>
      <c r="AS198" s="1" t="s">
        <v>114</v>
      </c>
      <c r="AT198" s="1" t="s">
        <v>123</v>
      </c>
      <c r="AU198" s="1" t="s">
        <v>113</v>
      </c>
      <c r="AV198" s="1" t="s">
        <v>113</v>
      </c>
      <c r="AW198" s="1" t="s">
        <v>124</v>
      </c>
      <c r="AX198" s="1" t="s">
        <v>165</v>
      </c>
      <c r="AY198" s="1">
        <v>0</v>
      </c>
      <c r="AZ198" s="1" t="s">
        <v>113</v>
      </c>
      <c r="BA198" s="1" t="s">
        <v>113</v>
      </c>
      <c r="BB198" s="1" t="s">
        <v>125</v>
      </c>
      <c r="BC198" s="1" t="s">
        <v>166</v>
      </c>
      <c r="BD198" s="1">
        <v>0</v>
      </c>
      <c r="BE198" s="1">
        <v>100</v>
      </c>
      <c r="BF198" s="1" t="s">
        <v>630</v>
      </c>
      <c r="BG198" s="1" t="s">
        <v>268</v>
      </c>
      <c r="BH198" s="1" t="s">
        <v>269</v>
      </c>
      <c r="BI198" s="1" t="s">
        <v>269</v>
      </c>
      <c r="BJ198" s="1" t="s">
        <v>128</v>
      </c>
      <c r="BK198" s="1">
        <v>0</v>
      </c>
      <c r="BL198" s="1" t="s">
        <v>127</v>
      </c>
      <c r="BM198" s="1" t="s">
        <v>114</v>
      </c>
      <c r="BN198" s="1">
        <v>12</v>
      </c>
      <c r="BO198" s="1">
        <v>13</v>
      </c>
      <c r="BP198" s="1" t="s">
        <v>124</v>
      </c>
      <c r="BQ198" s="1" t="s">
        <v>143</v>
      </c>
      <c r="BR198" s="1" t="s">
        <v>2672</v>
      </c>
      <c r="BS198" s="1" t="s">
        <v>2673</v>
      </c>
      <c r="BT198" s="1" t="s">
        <v>172</v>
      </c>
      <c r="BU198" s="1" t="s">
        <v>239</v>
      </c>
      <c r="BV198" s="1" t="s">
        <v>2674</v>
      </c>
      <c r="BW198" s="1" t="s">
        <v>134</v>
      </c>
      <c r="BX198" s="1" t="s">
        <v>143</v>
      </c>
      <c r="BY198" s="1" t="s">
        <v>299</v>
      </c>
      <c r="BZ198" s="1" t="s">
        <v>2675</v>
      </c>
      <c r="CA198" s="1">
        <v>8160</v>
      </c>
      <c r="CB198" s="1" t="s">
        <v>244</v>
      </c>
      <c r="CC198" s="1" t="s">
        <v>1192</v>
      </c>
      <c r="CD198" s="1" t="s">
        <v>2676</v>
      </c>
      <c r="CE198" s="1" t="s">
        <v>497</v>
      </c>
      <c r="CF198" s="1">
        <v>185345739</v>
      </c>
      <c r="CG198" s="1">
        <v>173750025</v>
      </c>
      <c r="CH198" s="1">
        <v>107332740</v>
      </c>
      <c r="CI198" s="1">
        <v>0</v>
      </c>
      <c r="CJ198" s="1">
        <v>28834361</v>
      </c>
      <c r="CK198" s="1">
        <v>66417285</v>
      </c>
      <c r="CL198" s="1">
        <v>66417285</v>
      </c>
      <c r="CM198" s="1">
        <v>66417285</v>
      </c>
      <c r="CN198" s="1">
        <v>0</v>
      </c>
      <c r="CO198" s="1">
        <v>0</v>
      </c>
      <c r="CP198" s="1">
        <v>0</v>
      </c>
      <c r="CQ198" s="1">
        <v>0</v>
      </c>
      <c r="CR198" s="1" t="s">
        <v>139</v>
      </c>
      <c r="CS198" s="1" t="s">
        <v>140</v>
      </c>
      <c r="CT198" s="1" t="s">
        <v>1406</v>
      </c>
      <c r="CU198" s="1" t="s">
        <v>2677</v>
      </c>
      <c r="CV198" s="1" t="s">
        <v>2678</v>
      </c>
      <c r="CW198" s="1" t="s">
        <v>141</v>
      </c>
      <c r="CX198" s="1" t="s">
        <v>2679</v>
      </c>
      <c r="CY198" s="1" t="s">
        <v>143</v>
      </c>
      <c r="CZ198" s="1" t="s">
        <v>144</v>
      </c>
      <c r="DA198" s="1" t="s">
        <v>145</v>
      </c>
    </row>
    <row r="199" spans="1:105" s="3" customFormat="1" ht="11.25" customHeight="1" x14ac:dyDescent="0.2">
      <c r="A199" s="1">
        <v>41</v>
      </c>
      <c r="B199" s="1" t="s">
        <v>2681</v>
      </c>
      <c r="C199" s="1" t="s">
        <v>2680</v>
      </c>
      <c r="D199" s="1">
        <v>14576</v>
      </c>
      <c r="E199" s="2" t="s">
        <v>4201</v>
      </c>
      <c r="F199" s="1" t="s">
        <v>113</v>
      </c>
      <c r="G199" s="1" t="s">
        <v>190</v>
      </c>
      <c r="H199" s="1" t="s">
        <v>793</v>
      </c>
      <c r="I199" s="1" t="s">
        <v>193</v>
      </c>
      <c r="J199" s="1" t="s">
        <v>229</v>
      </c>
      <c r="L199" s="1" t="s">
        <v>111</v>
      </c>
      <c r="M199" s="1" t="s">
        <v>157</v>
      </c>
      <c r="N199" s="1" t="s">
        <v>112</v>
      </c>
      <c r="O199" s="1" t="s">
        <v>106</v>
      </c>
      <c r="P199" s="1" t="s">
        <v>113</v>
      </c>
      <c r="Q199" s="1" t="s">
        <v>258</v>
      </c>
      <c r="R199" s="5" t="s">
        <v>2682</v>
      </c>
      <c r="S199" s="1" t="s">
        <v>2683</v>
      </c>
      <c r="T199" s="1" t="s">
        <v>106</v>
      </c>
      <c r="U199" s="1" t="s">
        <v>2684</v>
      </c>
      <c r="V199" s="1" t="s">
        <v>375</v>
      </c>
      <c r="W199" s="1" t="s">
        <v>115</v>
      </c>
      <c r="X199" s="1" t="s">
        <v>113</v>
      </c>
      <c r="Y199" s="1" t="s">
        <v>157</v>
      </c>
      <c r="Z199" s="1">
        <v>100</v>
      </c>
      <c r="AA199" s="1" t="s">
        <v>116</v>
      </c>
      <c r="AB199" s="1" t="s">
        <v>128</v>
      </c>
      <c r="AC199" s="1" t="s">
        <v>118</v>
      </c>
      <c r="AD199" s="1">
        <v>60</v>
      </c>
      <c r="AE199" s="1" t="s">
        <v>116</v>
      </c>
      <c r="AF199" s="1">
        <v>1381</v>
      </c>
      <c r="AG199" s="1" t="s">
        <v>113</v>
      </c>
      <c r="AH199" s="1">
        <v>0</v>
      </c>
      <c r="AI199" s="1">
        <v>0</v>
      </c>
      <c r="AJ199" s="1">
        <v>0</v>
      </c>
      <c r="AK199" s="1" t="s">
        <v>119</v>
      </c>
      <c r="AL199" s="1">
        <v>0</v>
      </c>
      <c r="AM199" s="1" t="s">
        <v>2685</v>
      </c>
      <c r="AN199" s="1">
        <v>0</v>
      </c>
      <c r="AO199" s="1" t="s">
        <v>113</v>
      </c>
      <c r="AP199" s="1" t="s">
        <v>113</v>
      </c>
      <c r="AQ199" s="1" t="s">
        <v>157</v>
      </c>
      <c r="AR199" s="1" t="s">
        <v>157</v>
      </c>
      <c r="AS199" s="1" t="s">
        <v>157</v>
      </c>
      <c r="AT199" s="1" t="s">
        <v>123</v>
      </c>
      <c r="AU199" s="1" t="s">
        <v>106</v>
      </c>
      <c r="AV199" s="1" t="s">
        <v>113</v>
      </c>
      <c r="AW199" s="1" t="s">
        <v>124</v>
      </c>
      <c r="AX199" s="1" t="s">
        <v>165</v>
      </c>
      <c r="AY199" s="1">
        <v>760</v>
      </c>
      <c r="AZ199" s="1" t="s">
        <v>106</v>
      </c>
      <c r="BA199" s="1" t="s">
        <v>113</v>
      </c>
      <c r="BB199" s="1" t="s">
        <v>125</v>
      </c>
      <c r="BC199" s="1" t="s">
        <v>166</v>
      </c>
      <c r="BD199" s="1">
        <v>1248</v>
      </c>
      <c r="BE199" s="1">
        <v>100</v>
      </c>
      <c r="BF199" s="1" t="s">
        <v>167</v>
      </c>
      <c r="BG199" s="1" t="s">
        <v>383</v>
      </c>
      <c r="BH199" s="1" t="s">
        <v>169</v>
      </c>
      <c r="BI199" s="1" t="s">
        <v>169</v>
      </c>
      <c r="BJ199" s="1" t="s">
        <v>128</v>
      </c>
      <c r="BK199" s="1">
        <v>0</v>
      </c>
      <c r="BL199" s="1" t="s">
        <v>127</v>
      </c>
      <c r="BM199" s="1" t="s">
        <v>114</v>
      </c>
      <c r="BN199" s="1">
        <v>17</v>
      </c>
      <c r="BO199" s="1">
        <v>0</v>
      </c>
      <c r="BP199" s="1" t="s">
        <v>124</v>
      </c>
      <c r="BQ199" s="1" t="s">
        <v>2686</v>
      </c>
      <c r="BR199" s="1" t="s">
        <v>2687</v>
      </c>
      <c r="BS199" s="1" t="s">
        <v>2688</v>
      </c>
      <c r="BT199" s="1" t="s">
        <v>172</v>
      </c>
      <c r="BU199" s="1" t="s">
        <v>239</v>
      </c>
      <c r="BV199" s="1" t="s">
        <v>2256</v>
      </c>
      <c r="BW199" s="1" t="s">
        <v>298</v>
      </c>
      <c r="BX199" s="1" t="s">
        <v>325</v>
      </c>
      <c r="BY199" s="1" t="s">
        <v>299</v>
      </c>
      <c r="BZ199" s="1" t="s">
        <v>2689</v>
      </c>
      <c r="CA199" s="1">
        <v>1535</v>
      </c>
      <c r="CB199" s="1" t="s">
        <v>137</v>
      </c>
      <c r="CC199" s="1" t="s">
        <v>138</v>
      </c>
      <c r="CD199" s="1" t="s">
        <v>157</v>
      </c>
      <c r="CE199" s="1" t="s">
        <v>179</v>
      </c>
      <c r="CF199" s="1">
        <v>0</v>
      </c>
      <c r="CG199" s="1" t="s">
        <v>2690</v>
      </c>
      <c r="CH199" s="1">
        <v>0</v>
      </c>
      <c r="CI199" s="1">
        <v>0</v>
      </c>
      <c r="CJ199" s="1">
        <v>0</v>
      </c>
      <c r="CK199" s="1">
        <v>0</v>
      </c>
      <c r="CL199" s="1">
        <v>0</v>
      </c>
      <c r="CM199" s="1">
        <v>0</v>
      </c>
      <c r="CN199" s="1">
        <v>0</v>
      </c>
      <c r="CO199" s="1">
        <v>0</v>
      </c>
      <c r="CP199" s="1">
        <v>0</v>
      </c>
      <c r="CQ199" s="1">
        <v>0</v>
      </c>
      <c r="CR199" s="1" t="s">
        <v>139</v>
      </c>
      <c r="CS199" s="1" t="s">
        <v>140</v>
      </c>
      <c r="CT199" s="1" t="s">
        <v>1406</v>
      </c>
      <c r="CV199" s="1" t="s">
        <v>2691</v>
      </c>
      <c r="CW199" s="1" t="s">
        <v>184</v>
      </c>
      <c r="CX199" s="1" t="s">
        <v>2692</v>
      </c>
      <c r="CY199" s="1" t="s">
        <v>143</v>
      </c>
      <c r="CZ199" s="1" t="s">
        <v>144</v>
      </c>
      <c r="DA199" s="1" t="s">
        <v>145</v>
      </c>
    </row>
    <row r="200" spans="1:105" s="3" customFormat="1" ht="11.25" customHeight="1" x14ac:dyDescent="0.2">
      <c r="A200" s="1">
        <v>41</v>
      </c>
      <c r="B200" s="1" t="s">
        <v>2694</v>
      </c>
      <c r="C200" s="1" t="s">
        <v>2693</v>
      </c>
      <c r="D200" s="1">
        <v>58140</v>
      </c>
      <c r="E200" s="2" t="s">
        <v>4201</v>
      </c>
      <c r="F200" s="1" t="s">
        <v>113</v>
      </c>
      <c r="G200" s="1" t="s">
        <v>190</v>
      </c>
      <c r="H200" s="1" t="s">
        <v>589</v>
      </c>
      <c r="I200" s="1" t="s">
        <v>229</v>
      </c>
      <c r="J200" s="1" t="s">
        <v>113</v>
      </c>
      <c r="L200" s="1" t="s">
        <v>149</v>
      </c>
      <c r="M200" s="1" t="s">
        <v>2695</v>
      </c>
      <c r="N200" s="1" t="s">
        <v>2360</v>
      </c>
      <c r="O200" s="1" t="s">
        <v>106</v>
      </c>
      <c r="P200" s="1" t="s">
        <v>113</v>
      </c>
      <c r="Q200" s="1" t="s">
        <v>195</v>
      </c>
      <c r="R200" s="1" t="s">
        <v>2696</v>
      </c>
      <c r="S200" s="1" t="s">
        <v>114</v>
      </c>
      <c r="T200" s="1" t="s">
        <v>106</v>
      </c>
      <c r="U200" s="1" t="s">
        <v>2697</v>
      </c>
      <c r="V200" s="1" t="s">
        <v>2698</v>
      </c>
      <c r="W200" s="1" t="s">
        <v>115</v>
      </c>
      <c r="X200" s="1" t="s">
        <v>113</v>
      </c>
      <c r="Y200" s="1" t="s">
        <v>114</v>
      </c>
      <c r="Z200" s="1">
        <v>100</v>
      </c>
      <c r="AA200" s="1" t="s">
        <v>132</v>
      </c>
      <c r="AB200" s="1" t="s">
        <v>128</v>
      </c>
      <c r="AC200" s="1" t="s">
        <v>128</v>
      </c>
      <c r="AD200" s="1">
        <v>0</v>
      </c>
      <c r="AE200" s="1" t="s">
        <v>589</v>
      </c>
      <c r="AF200" s="1">
        <v>8497</v>
      </c>
      <c r="AG200" s="1" t="s">
        <v>113</v>
      </c>
      <c r="AH200" s="1">
        <v>0</v>
      </c>
      <c r="AI200" s="1">
        <v>0</v>
      </c>
      <c r="AJ200" s="1">
        <v>0</v>
      </c>
      <c r="AK200" s="1" t="s">
        <v>758</v>
      </c>
      <c r="AL200" s="1">
        <v>1600</v>
      </c>
      <c r="AM200" s="1" t="s">
        <v>2699</v>
      </c>
      <c r="AN200" s="1">
        <v>1600</v>
      </c>
      <c r="AO200" s="1" t="s">
        <v>113</v>
      </c>
      <c r="AP200" s="1" t="s">
        <v>113</v>
      </c>
      <c r="AQ200" s="1" t="s">
        <v>114</v>
      </c>
      <c r="AR200" s="1" t="s">
        <v>114</v>
      </c>
      <c r="AS200" s="1" t="s">
        <v>114</v>
      </c>
      <c r="AT200" s="1" t="s">
        <v>2700</v>
      </c>
      <c r="AU200" s="1" t="s">
        <v>106</v>
      </c>
      <c r="AV200" s="1" t="s">
        <v>106</v>
      </c>
      <c r="AW200" s="1" t="s">
        <v>234</v>
      </c>
      <c r="AX200" s="1" t="s">
        <v>1821</v>
      </c>
      <c r="AY200" s="1">
        <v>580</v>
      </c>
      <c r="AZ200" s="1" t="s">
        <v>106</v>
      </c>
      <c r="BA200" s="1" t="s">
        <v>113</v>
      </c>
      <c r="BB200" s="1" t="s">
        <v>761</v>
      </c>
      <c r="BC200" s="1" t="s">
        <v>2701</v>
      </c>
      <c r="BD200" s="1">
        <v>29</v>
      </c>
      <c r="BE200" s="1">
        <v>100</v>
      </c>
      <c r="BF200" s="1" t="s">
        <v>1206</v>
      </c>
      <c r="BG200" s="1" t="s">
        <v>268</v>
      </c>
      <c r="BH200" s="1" t="s">
        <v>269</v>
      </c>
      <c r="BI200" s="1" t="s">
        <v>269</v>
      </c>
      <c r="BJ200" s="1" t="s">
        <v>128</v>
      </c>
      <c r="BK200" s="1">
        <v>0</v>
      </c>
      <c r="BL200" s="1" t="s">
        <v>127</v>
      </c>
      <c r="BM200" s="1" t="s">
        <v>114</v>
      </c>
      <c r="BN200" s="1" t="s">
        <v>143</v>
      </c>
      <c r="BO200" s="1" t="s">
        <v>143</v>
      </c>
      <c r="BP200" s="1" t="s">
        <v>124</v>
      </c>
      <c r="BQ200" s="1" t="s">
        <v>2693</v>
      </c>
      <c r="BR200" s="1" t="s">
        <v>2702</v>
      </c>
      <c r="BS200" s="1" t="s">
        <v>2703</v>
      </c>
      <c r="BT200" s="1" t="s">
        <v>172</v>
      </c>
      <c r="BU200" s="1" t="s">
        <v>132</v>
      </c>
      <c r="BV200" s="1" t="s">
        <v>2516</v>
      </c>
      <c r="BW200" s="1" t="s">
        <v>134</v>
      </c>
      <c r="BX200" s="1" t="s">
        <v>2704</v>
      </c>
      <c r="BY200" s="1" t="s">
        <v>135</v>
      </c>
      <c r="BZ200" s="1">
        <v>25160</v>
      </c>
      <c r="CA200" s="1">
        <v>8497</v>
      </c>
      <c r="CB200" s="1" t="s">
        <v>216</v>
      </c>
      <c r="CC200" s="1" t="s">
        <v>2705</v>
      </c>
      <c r="CD200" s="1" t="s">
        <v>2706</v>
      </c>
      <c r="CE200" s="1" t="s">
        <v>179</v>
      </c>
      <c r="CF200" s="1">
        <v>9011947.7599999998</v>
      </c>
      <c r="CG200" s="1">
        <v>8313323.5700000003</v>
      </c>
      <c r="CH200" s="1">
        <v>1442004.73</v>
      </c>
      <c r="CI200" s="1">
        <v>0</v>
      </c>
      <c r="CJ200" s="1">
        <v>776464.08</v>
      </c>
      <c r="CK200" s="1">
        <v>922257.84</v>
      </c>
      <c r="CL200" s="1">
        <v>496600</v>
      </c>
      <c r="CM200" s="1">
        <v>0</v>
      </c>
      <c r="CN200" s="1">
        <v>59592</v>
      </c>
      <c r="CO200" s="1">
        <v>39728</v>
      </c>
      <c r="CP200" s="1">
        <v>35953</v>
      </c>
      <c r="CQ200" s="1">
        <v>22550</v>
      </c>
      <c r="CR200" s="1" t="s">
        <v>139</v>
      </c>
      <c r="CS200" s="1" t="s">
        <v>140</v>
      </c>
      <c r="CT200" s="1" t="s">
        <v>2707</v>
      </c>
      <c r="CU200" s="1" t="s">
        <v>182</v>
      </c>
      <c r="CV200" s="1" t="s">
        <v>310</v>
      </c>
      <c r="CW200" s="1" t="s">
        <v>141</v>
      </c>
      <c r="CX200" s="1" t="s">
        <v>2708</v>
      </c>
      <c r="CY200" s="1" t="s">
        <v>143</v>
      </c>
      <c r="CZ200" s="1" t="s">
        <v>144</v>
      </c>
      <c r="DA200" s="1" t="s">
        <v>145</v>
      </c>
    </row>
    <row r="201" spans="1:105" s="3" customFormat="1" ht="11.25" customHeight="1" x14ac:dyDescent="0.2">
      <c r="A201" s="1">
        <v>41</v>
      </c>
      <c r="B201" s="1" t="s">
        <v>2710</v>
      </c>
      <c r="C201" s="1" t="s">
        <v>2709</v>
      </c>
      <c r="D201" s="1">
        <v>5935</v>
      </c>
      <c r="E201" s="2" t="s">
        <v>4201</v>
      </c>
      <c r="F201" s="1" t="s">
        <v>113</v>
      </c>
      <c r="G201" s="1" t="s">
        <v>190</v>
      </c>
      <c r="H201" s="1" t="s">
        <v>114</v>
      </c>
      <c r="I201" s="1" t="s">
        <v>229</v>
      </c>
      <c r="J201" s="1" t="s">
        <v>229</v>
      </c>
      <c r="K201" s="1" t="s">
        <v>114</v>
      </c>
      <c r="L201" s="1" t="s">
        <v>111</v>
      </c>
      <c r="M201" s="1" t="s">
        <v>111</v>
      </c>
      <c r="N201" s="1" t="s">
        <v>112</v>
      </c>
      <c r="O201" s="1" t="s">
        <v>113</v>
      </c>
      <c r="P201" s="1" t="s">
        <v>113</v>
      </c>
      <c r="Q201" s="1" t="s">
        <v>195</v>
      </c>
      <c r="R201" s="1" t="s">
        <v>114</v>
      </c>
      <c r="S201" s="1" t="s">
        <v>114</v>
      </c>
      <c r="T201" s="1" t="s">
        <v>106</v>
      </c>
      <c r="U201" s="1" t="s">
        <v>114</v>
      </c>
      <c r="V201" s="1" t="s">
        <v>1291</v>
      </c>
      <c r="W201" s="1" t="s">
        <v>115</v>
      </c>
      <c r="X201" s="1" t="s">
        <v>113</v>
      </c>
      <c r="Y201" s="1" t="s">
        <v>114</v>
      </c>
      <c r="Z201" s="1">
        <v>100</v>
      </c>
      <c r="AA201" s="1" t="s">
        <v>116</v>
      </c>
      <c r="AB201" s="1" t="s">
        <v>128</v>
      </c>
      <c r="AC201" s="1" t="s">
        <v>128</v>
      </c>
      <c r="AD201" s="1">
        <v>0</v>
      </c>
      <c r="AE201" s="1" t="s">
        <v>114</v>
      </c>
      <c r="AF201" s="1">
        <v>1080</v>
      </c>
      <c r="AG201" s="1" t="s">
        <v>106</v>
      </c>
      <c r="AH201" s="1">
        <v>50</v>
      </c>
      <c r="AI201" s="1">
        <v>30</v>
      </c>
      <c r="AJ201" s="1">
        <v>20</v>
      </c>
      <c r="AK201" s="1" t="s">
        <v>626</v>
      </c>
      <c r="AL201" s="1">
        <v>1200</v>
      </c>
      <c r="AM201" s="1" t="s">
        <v>293</v>
      </c>
      <c r="AN201" s="1">
        <v>1200</v>
      </c>
      <c r="AO201" s="1" t="s">
        <v>113</v>
      </c>
      <c r="AP201" s="1" t="s">
        <v>113</v>
      </c>
      <c r="AQ201" s="1" t="s">
        <v>114</v>
      </c>
      <c r="AR201" s="1" t="s">
        <v>114</v>
      </c>
      <c r="AS201" s="1" t="s">
        <v>114</v>
      </c>
      <c r="AT201" s="1" t="s">
        <v>123</v>
      </c>
      <c r="AU201" s="1" t="s">
        <v>106</v>
      </c>
      <c r="AV201" s="1" t="s">
        <v>113</v>
      </c>
      <c r="AW201" s="1" t="s">
        <v>164</v>
      </c>
      <c r="AX201" s="1" t="s">
        <v>165</v>
      </c>
      <c r="AY201" s="1">
        <v>50</v>
      </c>
      <c r="AZ201" s="1" t="s">
        <v>113</v>
      </c>
      <c r="BA201" s="1" t="s">
        <v>113</v>
      </c>
      <c r="BB201" s="1" t="s">
        <v>125</v>
      </c>
      <c r="BC201" s="1" t="s">
        <v>166</v>
      </c>
      <c r="BD201" s="1">
        <v>0</v>
      </c>
      <c r="BE201" s="1">
        <v>100</v>
      </c>
      <c r="BF201" s="1" t="s">
        <v>167</v>
      </c>
      <c r="BG201" s="1" t="s">
        <v>116</v>
      </c>
      <c r="BH201" s="1" t="s">
        <v>168</v>
      </c>
      <c r="BI201" s="1" t="s">
        <v>168</v>
      </c>
      <c r="BJ201" s="1" t="s">
        <v>128</v>
      </c>
      <c r="BK201" s="1">
        <v>0</v>
      </c>
      <c r="BL201" s="1" t="s">
        <v>127</v>
      </c>
      <c r="BM201" s="1" t="s">
        <v>114</v>
      </c>
      <c r="BN201" s="1">
        <v>0</v>
      </c>
      <c r="BO201" s="1">
        <v>0</v>
      </c>
      <c r="BP201" s="1" t="s">
        <v>124</v>
      </c>
      <c r="BQ201" s="1" t="s">
        <v>114</v>
      </c>
      <c r="BR201" s="1" t="s">
        <v>2711</v>
      </c>
      <c r="BS201" s="1" t="s">
        <v>2712</v>
      </c>
      <c r="BT201" s="1" t="s">
        <v>172</v>
      </c>
      <c r="BU201" s="1" t="s">
        <v>239</v>
      </c>
      <c r="BV201" s="1" t="s">
        <v>1028</v>
      </c>
      <c r="BW201" s="1" t="s">
        <v>134</v>
      </c>
      <c r="BX201" s="1" t="s">
        <v>325</v>
      </c>
      <c r="BY201" s="1" t="s">
        <v>299</v>
      </c>
      <c r="BZ201" s="1" t="s">
        <v>114</v>
      </c>
      <c r="CA201" s="1">
        <v>250</v>
      </c>
      <c r="CB201" s="1" t="s">
        <v>244</v>
      </c>
      <c r="CC201" s="1" t="s">
        <v>177</v>
      </c>
      <c r="CD201" s="1" t="s">
        <v>114</v>
      </c>
      <c r="CE201" s="1" t="s">
        <v>219</v>
      </c>
      <c r="CF201" s="1">
        <v>198000</v>
      </c>
      <c r="CG201" s="1">
        <v>785000</v>
      </c>
      <c r="CH201" s="1">
        <v>230</v>
      </c>
      <c r="CI201" s="1">
        <v>0</v>
      </c>
      <c r="CJ201" s="1">
        <v>250</v>
      </c>
      <c r="CK201" s="1">
        <v>230</v>
      </c>
      <c r="CL201" s="1">
        <v>0</v>
      </c>
      <c r="CM201" s="1">
        <v>180</v>
      </c>
      <c r="CN201" s="1">
        <v>58</v>
      </c>
      <c r="CO201" s="1">
        <v>0</v>
      </c>
      <c r="CP201" s="1">
        <v>0</v>
      </c>
      <c r="CQ201" s="1">
        <v>0</v>
      </c>
      <c r="CR201" s="1" t="s">
        <v>139</v>
      </c>
      <c r="CS201" s="1" t="s">
        <v>308</v>
      </c>
      <c r="CT201" s="1" t="s">
        <v>1294</v>
      </c>
      <c r="CU201" s="1" t="s">
        <v>1079</v>
      </c>
      <c r="CV201" s="1" t="s">
        <v>907</v>
      </c>
      <c r="CW201" s="1" t="s">
        <v>251</v>
      </c>
      <c r="CX201" s="1" t="s">
        <v>114</v>
      </c>
      <c r="CY201" s="1" t="s">
        <v>114</v>
      </c>
      <c r="CZ201" s="1" t="s">
        <v>144</v>
      </c>
      <c r="DA201" s="1" t="s">
        <v>145</v>
      </c>
    </row>
    <row r="202" spans="1:105" s="3" customFormat="1" ht="11.25" customHeight="1" x14ac:dyDescent="0.2">
      <c r="A202" s="1">
        <v>41</v>
      </c>
      <c r="B202" s="1" t="s">
        <v>2714</v>
      </c>
      <c r="C202" s="1" t="s">
        <v>2713</v>
      </c>
      <c r="D202" s="1">
        <v>44098</v>
      </c>
      <c r="E202" s="2" t="s">
        <v>4201</v>
      </c>
      <c r="F202" s="1" t="s">
        <v>113</v>
      </c>
      <c r="G202" s="1" t="s">
        <v>190</v>
      </c>
      <c r="H202" s="1" t="s">
        <v>113</v>
      </c>
      <c r="I202" s="1" t="s">
        <v>229</v>
      </c>
      <c r="J202" s="1" t="s">
        <v>229</v>
      </c>
      <c r="L202" s="1" t="s">
        <v>2715</v>
      </c>
      <c r="M202" s="1" t="s">
        <v>111</v>
      </c>
      <c r="N202" s="1" t="s">
        <v>112</v>
      </c>
      <c r="O202" s="1" t="s">
        <v>106</v>
      </c>
      <c r="P202" s="1" t="s">
        <v>113</v>
      </c>
      <c r="Q202" s="1" t="s">
        <v>258</v>
      </c>
      <c r="R202" s="1" t="s">
        <v>2716</v>
      </c>
      <c r="S202" s="1" t="s">
        <v>1350</v>
      </c>
      <c r="T202" s="1" t="s">
        <v>106</v>
      </c>
      <c r="U202" s="1" t="s">
        <v>2716</v>
      </c>
      <c r="V202" s="1" t="s">
        <v>2717</v>
      </c>
      <c r="W202" s="1" t="s">
        <v>115</v>
      </c>
      <c r="X202" s="1" t="s">
        <v>113</v>
      </c>
      <c r="Y202" s="1" t="s">
        <v>114</v>
      </c>
      <c r="Z202" s="1">
        <v>100</v>
      </c>
      <c r="AA202" s="1" t="s">
        <v>132</v>
      </c>
      <c r="AB202" s="1" t="s">
        <v>117</v>
      </c>
      <c r="AC202" s="1" t="s">
        <v>384</v>
      </c>
      <c r="AD202" s="1">
        <v>100</v>
      </c>
      <c r="AE202" s="1" t="s">
        <v>116</v>
      </c>
      <c r="AF202" s="1">
        <v>950</v>
      </c>
      <c r="AG202" s="1" t="s">
        <v>113</v>
      </c>
      <c r="AH202" s="1">
        <v>40</v>
      </c>
      <c r="AI202" s="1">
        <v>15</v>
      </c>
      <c r="AJ202" s="1">
        <v>45</v>
      </c>
      <c r="AK202" s="1" t="s">
        <v>530</v>
      </c>
      <c r="AL202" s="1">
        <v>3120</v>
      </c>
      <c r="AM202" s="1" t="s">
        <v>2718</v>
      </c>
      <c r="AN202" s="1">
        <v>3120</v>
      </c>
      <c r="AO202" s="1" t="s">
        <v>113</v>
      </c>
      <c r="AP202" s="1" t="s">
        <v>113</v>
      </c>
      <c r="AQ202" s="1" t="s">
        <v>114</v>
      </c>
      <c r="AR202" s="1" t="s">
        <v>114</v>
      </c>
      <c r="AS202" s="1" t="s">
        <v>114</v>
      </c>
      <c r="AT202" s="1" t="s">
        <v>2351</v>
      </c>
      <c r="AU202" s="1" t="s">
        <v>106</v>
      </c>
      <c r="AV202" s="1" t="s">
        <v>106</v>
      </c>
      <c r="AW202" s="1" t="s">
        <v>164</v>
      </c>
      <c r="AX202" s="1" t="s">
        <v>1821</v>
      </c>
      <c r="AY202" s="1">
        <v>800</v>
      </c>
      <c r="AZ202" s="1" t="s">
        <v>113</v>
      </c>
      <c r="BA202" s="1" t="s">
        <v>113</v>
      </c>
      <c r="BB202" s="1" t="s">
        <v>125</v>
      </c>
      <c r="BC202" s="1" t="s">
        <v>166</v>
      </c>
      <c r="BD202" s="1">
        <v>0</v>
      </c>
      <c r="BE202" s="1">
        <v>100</v>
      </c>
      <c r="BF202" s="1" t="s">
        <v>1206</v>
      </c>
      <c r="BG202" s="1" t="s">
        <v>1188</v>
      </c>
      <c r="BH202" s="1" t="s">
        <v>269</v>
      </c>
      <c r="BI202" s="1" t="s">
        <v>269</v>
      </c>
      <c r="BJ202" s="1" t="s">
        <v>208</v>
      </c>
      <c r="BK202" s="1">
        <v>50</v>
      </c>
      <c r="BL202" s="1" t="s">
        <v>294</v>
      </c>
      <c r="BM202" s="1" t="s">
        <v>386</v>
      </c>
      <c r="BN202" s="1">
        <v>33</v>
      </c>
      <c r="BP202" s="1" t="s">
        <v>124</v>
      </c>
      <c r="BQ202" s="1" t="s">
        <v>2713</v>
      </c>
      <c r="BR202" s="1" t="s">
        <v>2719</v>
      </c>
      <c r="BS202" s="1" t="s">
        <v>2720</v>
      </c>
      <c r="BT202" s="1" t="s">
        <v>172</v>
      </c>
      <c r="BU202" s="1" t="s">
        <v>239</v>
      </c>
      <c r="BV202" s="1" t="s">
        <v>2721</v>
      </c>
      <c r="BW202" s="1" t="s">
        <v>298</v>
      </c>
      <c r="BX202" s="1" t="s">
        <v>767</v>
      </c>
      <c r="BY202" s="1" t="s">
        <v>299</v>
      </c>
      <c r="BZ202" s="1" t="s">
        <v>2722</v>
      </c>
      <c r="CA202" s="1">
        <v>7200</v>
      </c>
      <c r="CB202" s="1" t="s">
        <v>244</v>
      </c>
      <c r="CC202" s="1" t="s">
        <v>217</v>
      </c>
      <c r="CD202" s="1" t="s">
        <v>2723</v>
      </c>
      <c r="CE202" s="1" t="s">
        <v>219</v>
      </c>
      <c r="CF202" s="6">
        <v>1515902.08</v>
      </c>
      <c r="CG202" s="6">
        <v>2878569.39</v>
      </c>
      <c r="CH202" s="1">
        <v>213.29</v>
      </c>
      <c r="CI202" s="1" t="s">
        <v>114</v>
      </c>
      <c r="CJ202" s="1" t="s">
        <v>2724</v>
      </c>
      <c r="CK202" s="1">
        <v>550</v>
      </c>
      <c r="CL202" s="1">
        <v>257</v>
      </c>
      <c r="CM202" s="1">
        <v>0</v>
      </c>
      <c r="CN202" s="1">
        <v>0</v>
      </c>
      <c r="CO202" s="1">
        <v>0</v>
      </c>
      <c r="CP202" s="1">
        <v>0</v>
      </c>
      <c r="CQ202" s="1">
        <v>0</v>
      </c>
      <c r="CR202" s="1" t="s">
        <v>139</v>
      </c>
      <c r="CS202" s="1" t="s">
        <v>140</v>
      </c>
      <c r="CT202" s="1" t="s">
        <v>1031</v>
      </c>
      <c r="CU202" s="1" t="s">
        <v>182</v>
      </c>
      <c r="CW202" s="1" t="s">
        <v>284</v>
      </c>
      <c r="CX202" s="1" t="s">
        <v>2725</v>
      </c>
      <c r="CY202" s="1" t="s">
        <v>2726</v>
      </c>
      <c r="CZ202" s="1" t="s">
        <v>144</v>
      </c>
      <c r="DA202" s="1" t="s">
        <v>145</v>
      </c>
    </row>
    <row r="203" spans="1:105" s="3" customFormat="1" ht="11.25" customHeight="1" x14ac:dyDescent="0.2">
      <c r="A203" s="1">
        <v>41</v>
      </c>
      <c r="B203" s="1" t="s">
        <v>2728</v>
      </c>
      <c r="C203" s="1" t="s">
        <v>2727</v>
      </c>
      <c r="D203" s="1">
        <v>8774</v>
      </c>
      <c r="E203" s="2" t="s">
        <v>4201</v>
      </c>
      <c r="F203" s="1" t="s">
        <v>113</v>
      </c>
      <c r="G203" s="1" t="s">
        <v>190</v>
      </c>
      <c r="H203" s="1" t="s">
        <v>2729</v>
      </c>
      <c r="I203" s="1" t="s">
        <v>229</v>
      </c>
      <c r="J203" s="1" t="s">
        <v>229</v>
      </c>
      <c r="L203" s="1" t="s">
        <v>149</v>
      </c>
      <c r="M203" s="1" t="s">
        <v>2730</v>
      </c>
      <c r="N203" s="1" t="s">
        <v>112</v>
      </c>
      <c r="O203" s="1" t="s">
        <v>113</v>
      </c>
      <c r="P203" s="1" t="s">
        <v>113</v>
      </c>
      <c r="Q203" s="1" t="s">
        <v>195</v>
      </c>
      <c r="R203" s="1" t="s">
        <v>2731</v>
      </c>
      <c r="S203" s="1" t="s">
        <v>114</v>
      </c>
      <c r="T203" s="1" t="s">
        <v>106</v>
      </c>
      <c r="U203" s="1" t="s">
        <v>114</v>
      </c>
      <c r="V203" s="1" t="s">
        <v>1150</v>
      </c>
      <c r="W203" s="1" t="s">
        <v>199</v>
      </c>
      <c r="X203" s="1" t="s">
        <v>113</v>
      </c>
      <c r="Y203" s="1" t="s">
        <v>114</v>
      </c>
      <c r="Z203" s="1">
        <v>100</v>
      </c>
      <c r="AA203" s="1" t="s">
        <v>116</v>
      </c>
      <c r="AB203" s="1" t="s">
        <v>128</v>
      </c>
      <c r="AC203" s="1" t="s">
        <v>128</v>
      </c>
      <c r="AD203" s="1">
        <v>0</v>
      </c>
      <c r="AE203" s="1" t="s">
        <v>114</v>
      </c>
      <c r="AF203" s="1">
        <v>1320</v>
      </c>
      <c r="AG203" s="1" t="s">
        <v>113</v>
      </c>
      <c r="AH203" s="1">
        <v>35</v>
      </c>
      <c r="AI203" s="1">
        <v>30</v>
      </c>
      <c r="AJ203" s="1">
        <v>35</v>
      </c>
      <c r="AK203" s="1" t="s">
        <v>119</v>
      </c>
      <c r="AL203" s="1">
        <v>0</v>
      </c>
      <c r="AM203" s="1" t="s">
        <v>120</v>
      </c>
      <c r="AN203" s="1">
        <v>0</v>
      </c>
      <c r="AO203" s="1" t="s">
        <v>113</v>
      </c>
      <c r="AP203" s="1" t="s">
        <v>113</v>
      </c>
      <c r="AQ203" s="1" t="s">
        <v>114</v>
      </c>
      <c r="AR203" s="1" t="s">
        <v>430</v>
      </c>
      <c r="AS203" s="1" t="s">
        <v>114</v>
      </c>
      <c r="AT203" s="1" t="s">
        <v>123</v>
      </c>
      <c r="AU203" s="1" t="s">
        <v>113</v>
      </c>
      <c r="AV203" s="1" t="s">
        <v>113</v>
      </c>
      <c r="AW203" s="1" t="s">
        <v>164</v>
      </c>
      <c r="AX203" s="1" t="s">
        <v>165</v>
      </c>
      <c r="AY203" s="1">
        <v>0</v>
      </c>
      <c r="AZ203" s="1" t="s">
        <v>106</v>
      </c>
      <c r="BA203" s="1" t="s">
        <v>113</v>
      </c>
      <c r="BB203" s="1" t="s">
        <v>125</v>
      </c>
      <c r="BC203" s="1" t="s">
        <v>166</v>
      </c>
      <c r="BD203" s="1">
        <v>0</v>
      </c>
      <c r="BE203" s="1">
        <v>100</v>
      </c>
      <c r="BF203" s="1" t="s">
        <v>167</v>
      </c>
      <c r="BG203" s="1" t="s">
        <v>116</v>
      </c>
      <c r="BI203" s="1" t="s">
        <v>569</v>
      </c>
      <c r="BJ203" s="1" t="s">
        <v>128</v>
      </c>
      <c r="BK203" s="1">
        <v>0</v>
      </c>
      <c r="BL203" s="1" t="s">
        <v>127</v>
      </c>
      <c r="BM203" s="1" t="s">
        <v>114</v>
      </c>
      <c r="BN203" s="1" t="s">
        <v>143</v>
      </c>
      <c r="BO203" s="1">
        <v>4</v>
      </c>
      <c r="BP203" s="1" t="s">
        <v>124</v>
      </c>
      <c r="BQ203" s="1" t="s">
        <v>2732</v>
      </c>
      <c r="BR203" s="1" t="s">
        <v>2733</v>
      </c>
      <c r="BS203" s="1" t="s">
        <v>2734</v>
      </c>
      <c r="BT203" s="1" t="s">
        <v>172</v>
      </c>
      <c r="BU203" s="1" t="s">
        <v>239</v>
      </c>
      <c r="BV203" s="1" t="s">
        <v>656</v>
      </c>
      <c r="BW203" s="1" t="s">
        <v>134</v>
      </c>
      <c r="BX203" s="1" t="s">
        <v>135</v>
      </c>
      <c r="BY203" s="1" t="s">
        <v>135</v>
      </c>
      <c r="BZ203" s="1" t="s">
        <v>2735</v>
      </c>
      <c r="CA203" s="1">
        <v>924</v>
      </c>
      <c r="CB203" s="1" t="s">
        <v>176</v>
      </c>
      <c r="CC203" s="1" t="s">
        <v>217</v>
      </c>
      <c r="CD203" s="1" t="s">
        <v>2736</v>
      </c>
      <c r="CE203" s="1" t="s">
        <v>219</v>
      </c>
      <c r="CF203" s="1" t="s">
        <v>2737</v>
      </c>
      <c r="CG203" s="4">
        <v>294494</v>
      </c>
      <c r="CH203" s="1">
        <v>0</v>
      </c>
      <c r="CI203" s="1">
        <v>0</v>
      </c>
      <c r="CJ203" s="1">
        <v>0</v>
      </c>
      <c r="CK203" s="1" t="s">
        <v>2738</v>
      </c>
      <c r="CL203" s="1" t="s">
        <v>2739</v>
      </c>
      <c r="CM203" s="1" t="s">
        <v>2740</v>
      </c>
      <c r="CN203" s="1">
        <v>0</v>
      </c>
      <c r="CO203" s="1">
        <v>0</v>
      </c>
      <c r="CP203" s="1" t="s">
        <v>2741</v>
      </c>
      <c r="CQ203" s="1">
        <v>0</v>
      </c>
      <c r="CR203" s="1" t="s">
        <v>139</v>
      </c>
      <c r="CS203" s="1" t="s">
        <v>140</v>
      </c>
      <c r="CT203" s="1" t="s">
        <v>479</v>
      </c>
      <c r="CW203" s="1" t="s">
        <v>141</v>
      </c>
      <c r="CX203" s="1" t="s">
        <v>2742</v>
      </c>
      <c r="CY203" s="1" t="s">
        <v>143</v>
      </c>
      <c r="CZ203" s="1" t="s">
        <v>144</v>
      </c>
      <c r="DA203" s="1" t="s">
        <v>145</v>
      </c>
    </row>
    <row r="204" spans="1:105" s="3" customFormat="1" ht="11.25" customHeight="1" x14ac:dyDescent="0.2">
      <c r="A204" s="1">
        <v>41</v>
      </c>
      <c r="B204" s="1" t="s">
        <v>2744</v>
      </c>
      <c r="C204" s="1" t="s">
        <v>2743</v>
      </c>
      <c r="D204" s="1">
        <v>7409</v>
      </c>
      <c r="E204" s="2" t="s">
        <v>4201</v>
      </c>
      <c r="F204" s="1" t="s">
        <v>106</v>
      </c>
      <c r="G204" s="1" t="s">
        <v>2224</v>
      </c>
      <c r="H204" s="1" t="s">
        <v>2745</v>
      </c>
      <c r="I204" s="1" t="s">
        <v>2746</v>
      </c>
      <c r="J204" s="1" t="s">
        <v>113</v>
      </c>
      <c r="L204" s="1" t="s">
        <v>111</v>
      </c>
      <c r="M204" s="1" t="s">
        <v>230</v>
      </c>
      <c r="N204" s="1" t="s">
        <v>112</v>
      </c>
      <c r="O204" s="1" t="s">
        <v>113</v>
      </c>
      <c r="P204" s="1" t="s">
        <v>113</v>
      </c>
      <c r="Q204" s="1" t="s">
        <v>1298</v>
      </c>
      <c r="R204" s="1" t="s">
        <v>2747</v>
      </c>
      <c r="S204" s="1" t="s">
        <v>114</v>
      </c>
      <c r="T204" s="1" t="s">
        <v>106</v>
      </c>
      <c r="U204" s="1" t="s">
        <v>114</v>
      </c>
      <c r="V204" s="1" t="s">
        <v>1803</v>
      </c>
      <c r="W204" s="1" t="s">
        <v>115</v>
      </c>
      <c r="X204" s="1" t="s">
        <v>113</v>
      </c>
      <c r="Y204" s="1" t="s">
        <v>114</v>
      </c>
      <c r="Z204" s="1">
        <v>100</v>
      </c>
      <c r="AA204" s="1" t="s">
        <v>116</v>
      </c>
      <c r="AB204" s="1" t="s">
        <v>128</v>
      </c>
      <c r="AC204" s="1" t="s">
        <v>118</v>
      </c>
      <c r="AD204" s="1">
        <v>50</v>
      </c>
      <c r="AE204" s="1" t="s">
        <v>116</v>
      </c>
      <c r="AF204" s="1">
        <v>1331</v>
      </c>
      <c r="AG204" s="1" t="s">
        <v>113</v>
      </c>
      <c r="AH204" s="1">
        <v>0</v>
      </c>
      <c r="AI204" s="1">
        <v>0</v>
      </c>
      <c r="AJ204" s="1">
        <v>0</v>
      </c>
      <c r="AK204" s="1" t="s">
        <v>408</v>
      </c>
      <c r="AM204" s="1" t="s">
        <v>131</v>
      </c>
      <c r="AO204" s="1" t="s">
        <v>113</v>
      </c>
      <c r="AP204" s="1" t="s">
        <v>106</v>
      </c>
      <c r="AQ204" s="1" t="s">
        <v>2748</v>
      </c>
      <c r="AR204" s="1" t="s">
        <v>2749</v>
      </c>
      <c r="AS204" s="1" t="s">
        <v>2750</v>
      </c>
      <c r="AT204" s="1" t="s">
        <v>123</v>
      </c>
      <c r="AU204" s="1" t="s">
        <v>106</v>
      </c>
      <c r="AV204" s="1" t="s">
        <v>106</v>
      </c>
      <c r="AW204" s="1" t="s">
        <v>234</v>
      </c>
      <c r="AX204" s="1" t="s">
        <v>206</v>
      </c>
      <c r="AY204" s="1">
        <v>100</v>
      </c>
      <c r="AZ204" s="1" t="s">
        <v>113</v>
      </c>
      <c r="BA204" s="1" t="s">
        <v>113</v>
      </c>
      <c r="BB204" s="1" t="s">
        <v>125</v>
      </c>
      <c r="BC204" s="1" t="s">
        <v>166</v>
      </c>
      <c r="BD204" s="1">
        <v>0</v>
      </c>
      <c r="BE204" s="1">
        <v>100</v>
      </c>
      <c r="BF204" s="1" t="s">
        <v>167</v>
      </c>
      <c r="BG204" s="1" t="s">
        <v>268</v>
      </c>
      <c r="BH204" s="1" t="s">
        <v>207</v>
      </c>
      <c r="BJ204" s="1" t="s">
        <v>208</v>
      </c>
      <c r="BK204" s="1">
        <v>50</v>
      </c>
      <c r="BL204" s="1" t="s">
        <v>270</v>
      </c>
      <c r="BN204" s="1" t="s">
        <v>143</v>
      </c>
      <c r="BP204" s="1" t="s">
        <v>115</v>
      </c>
      <c r="BQ204" s="1" t="s">
        <v>2745</v>
      </c>
      <c r="BR204" s="1" t="s">
        <v>2751</v>
      </c>
      <c r="BS204" s="1" t="s">
        <v>2752</v>
      </c>
      <c r="BT204" s="1" t="s">
        <v>172</v>
      </c>
      <c r="BU204" s="1" t="s">
        <v>239</v>
      </c>
      <c r="BV204" s="1" t="s">
        <v>2753</v>
      </c>
      <c r="BW204" s="1" t="s">
        <v>134</v>
      </c>
      <c r="BX204" s="1" t="s">
        <v>325</v>
      </c>
      <c r="BY204" s="1" t="s">
        <v>135</v>
      </c>
      <c r="BZ204" s="1" t="s">
        <v>114</v>
      </c>
      <c r="CA204" s="1">
        <v>0</v>
      </c>
      <c r="CB204" s="1" t="s">
        <v>176</v>
      </c>
      <c r="CC204" s="1" t="s">
        <v>217</v>
      </c>
      <c r="CD204" s="1" t="s">
        <v>2754</v>
      </c>
      <c r="CF204" s="1">
        <v>294467.89</v>
      </c>
      <c r="CG204" s="1">
        <v>399300</v>
      </c>
      <c r="CH204" s="1">
        <v>0</v>
      </c>
      <c r="CI204" s="1">
        <v>113135</v>
      </c>
      <c r="CJ204" s="1">
        <v>286165</v>
      </c>
      <c r="CK204" s="1">
        <v>0</v>
      </c>
      <c r="CL204" s="1">
        <v>0</v>
      </c>
      <c r="CM204" s="1">
        <v>0</v>
      </c>
      <c r="CN204" s="1">
        <v>0</v>
      </c>
      <c r="CO204" s="1">
        <v>0</v>
      </c>
      <c r="CP204" s="1">
        <v>0</v>
      </c>
      <c r="CQ204" s="1">
        <v>0</v>
      </c>
      <c r="CR204" s="1" t="s">
        <v>139</v>
      </c>
      <c r="CS204" s="1" t="s">
        <v>308</v>
      </c>
      <c r="CT204" s="1" t="s">
        <v>479</v>
      </c>
      <c r="CW204" s="1" t="s">
        <v>141</v>
      </c>
      <c r="CX204" s="1" t="s">
        <v>2755</v>
      </c>
      <c r="CY204" s="1" t="s">
        <v>143</v>
      </c>
      <c r="CZ204" s="1" t="s">
        <v>144</v>
      </c>
      <c r="DA204" s="1" t="s">
        <v>145</v>
      </c>
    </row>
    <row r="205" spans="1:105" s="3" customFormat="1" ht="11.25" customHeight="1" x14ac:dyDescent="0.2">
      <c r="A205" s="1">
        <v>41</v>
      </c>
      <c r="B205" s="1" t="s">
        <v>2756</v>
      </c>
      <c r="C205" s="1" t="s">
        <v>2757</v>
      </c>
      <c r="D205" s="1">
        <v>9934</v>
      </c>
      <c r="E205" s="2" t="s">
        <v>1688</v>
      </c>
      <c r="F205" s="1"/>
      <c r="G205" s="1"/>
      <c r="H205" s="1"/>
      <c r="I205" s="1"/>
      <c r="J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M205" s="1"/>
      <c r="AO205" s="1"/>
      <c r="AP205" s="1"/>
      <c r="AQ205" s="1"/>
      <c r="AR205" s="1"/>
      <c r="AS205" s="1"/>
      <c r="AT205" s="1"/>
      <c r="AU205" s="1"/>
      <c r="AV205" s="1"/>
      <c r="AW205" s="1"/>
      <c r="AX205" s="1"/>
      <c r="AY205" s="1"/>
      <c r="AZ205" s="1"/>
      <c r="BA205" s="1"/>
      <c r="BB205" s="1"/>
      <c r="BC205" s="1"/>
      <c r="BD205" s="1"/>
      <c r="BE205" s="1"/>
      <c r="BF205" s="1"/>
      <c r="BG205" s="1"/>
      <c r="BH205" s="1"/>
      <c r="BJ205" s="1"/>
      <c r="BK205" s="1"/>
      <c r="BL205" s="1"/>
      <c r="BN205" s="1"/>
      <c r="BP205" s="1"/>
      <c r="BQ205" s="1"/>
      <c r="BR205" s="1"/>
      <c r="BS205" s="1"/>
      <c r="BT205" s="1"/>
      <c r="BU205" s="1"/>
      <c r="BV205" s="1"/>
      <c r="BW205" s="1"/>
      <c r="BX205" s="1"/>
      <c r="BY205" s="1"/>
      <c r="BZ205" s="1"/>
      <c r="CA205" s="1"/>
      <c r="CB205" s="1"/>
      <c r="CC205" s="1"/>
      <c r="CD205" s="1"/>
      <c r="CF205" s="1"/>
      <c r="CG205" s="1"/>
      <c r="CH205" s="1"/>
      <c r="CI205" s="1"/>
      <c r="CJ205" s="1"/>
      <c r="CK205" s="1"/>
      <c r="CL205" s="1"/>
      <c r="CM205" s="1"/>
      <c r="CN205" s="1"/>
      <c r="CO205" s="1"/>
      <c r="CP205" s="1"/>
      <c r="CQ205" s="1"/>
      <c r="CR205" s="1"/>
      <c r="CS205" s="1"/>
      <c r="CT205" s="1"/>
      <c r="CW205" s="1"/>
      <c r="CX205" s="1"/>
      <c r="CY205" s="1"/>
      <c r="CZ205" s="1"/>
      <c r="DA205" s="1"/>
    </row>
    <row r="206" spans="1:105" s="3" customFormat="1" ht="11.25" customHeight="1" x14ac:dyDescent="0.2">
      <c r="A206" s="1">
        <v>41</v>
      </c>
      <c r="B206" s="1" t="s">
        <v>2758</v>
      </c>
      <c r="C206" s="1" t="s">
        <v>359</v>
      </c>
      <c r="D206" s="1">
        <v>425983</v>
      </c>
      <c r="E206" s="2" t="s">
        <v>4201</v>
      </c>
      <c r="F206" s="1" t="s">
        <v>113</v>
      </c>
      <c r="G206" s="1" t="s">
        <v>190</v>
      </c>
      <c r="H206" s="1" t="s">
        <v>190</v>
      </c>
      <c r="I206" s="1" t="s">
        <v>229</v>
      </c>
      <c r="J206" s="1" t="s">
        <v>229</v>
      </c>
      <c r="L206" s="1" t="s">
        <v>401</v>
      </c>
      <c r="M206" s="1" t="s">
        <v>2759</v>
      </c>
      <c r="N206" s="1" t="s">
        <v>2760</v>
      </c>
      <c r="O206" s="1" t="s">
        <v>113</v>
      </c>
      <c r="P206" s="1" t="s">
        <v>113</v>
      </c>
      <c r="Q206" s="1" t="s">
        <v>152</v>
      </c>
      <c r="R206" s="1" t="s">
        <v>114</v>
      </c>
      <c r="S206" s="1" t="s">
        <v>2761</v>
      </c>
      <c r="T206" s="1" t="s">
        <v>106</v>
      </c>
      <c r="U206" s="1" t="s">
        <v>2762</v>
      </c>
      <c r="V206" s="1" t="s">
        <v>529</v>
      </c>
      <c r="W206" s="1" t="s">
        <v>115</v>
      </c>
      <c r="X206" s="1" t="s">
        <v>106</v>
      </c>
      <c r="Y206" s="1" t="s">
        <v>2763</v>
      </c>
      <c r="Z206" s="1">
        <v>100</v>
      </c>
      <c r="AA206" s="1" t="s">
        <v>116</v>
      </c>
      <c r="AB206" s="1" t="s">
        <v>117</v>
      </c>
      <c r="AC206" s="1" t="s">
        <v>128</v>
      </c>
      <c r="AD206" s="1">
        <v>0</v>
      </c>
      <c r="AE206" s="1" t="s">
        <v>2764</v>
      </c>
      <c r="AF206" s="1">
        <v>113068</v>
      </c>
      <c r="AG206" s="1" t="s">
        <v>106</v>
      </c>
      <c r="AH206" s="1">
        <v>46</v>
      </c>
      <c r="AI206" s="1">
        <v>28</v>
      </c>
      <c r="AJ206" s="1">
        <v>27</v>
      </c>
      <c r="AK206" s="1" t="s">
        <v>119</v>
      </c>
      <c r="AM206" s="1" t="s">
        <v>1302</v>
      </c>
      <c r="AO206" s="1" t="s">
        <v>113</v>
      </c>
      <c r="AP206" s="1" t="s">
        <v>113</v>
      </c>
      <c r="AQ206" s="1" t="s">
        <v>564</v>
      </c>
      <c r="AR206" s="1" t="s">
        <v>564</v>
      </c>
      <c r="AS206" s="1" t="s">
        <v>564</v>
      </c>
      <c r="AT206" s="1" t="s">
        <v>628</v>
      </c>
      <c r="AU206" s="1" t="s">
        <v>113</v>
      </c>
      <c r="AV206" s="1" t="s">
        <v>113</v>
      </c>
      <c r="AW206" s="1" t="s">
        <v>124</v>
      </c>
      <c r="AY206" s="1">
        <v>0</v>
      </c>
      <c r="AZ206" s="1" t="s">
        <v>113</v>
      </c>
      <c r="BA206" s="1" t="s">
        <v>113</v>
      </c>
      <c r="BB206" s="1" t="s">
        <v>125</v>
      </c>
      <c r="BD206" s="1">
        <v>0</v>
      </c>
      <c r="BE206" s="1">
        <v>100</v>
      </c>
      <c r="BF206" s="1" t="s">
        <v>167</v>
      </c>
      <c r="BG206" s="1" t="s">
        <v>132</v>
      </c>
      <c r="BI206" s="1" t="s">
        <v>269</v>
      </c>
      <c r="BJ206" s="1" t="s">
        <v>128</v>
      </c>
      <c r="BK206" s="1">
        <v>0</v>
      </c>
      <c r="BL206" s="1" t="s">
        <v>127</v>
      </c>
      <c r="BM206" s="1" t="s">
        <v>114</v>
      </c>
      <c r="BN206" s="1">
        <v>114</v>
      </c>
      <c r="BP206" s="1" t="s">
        <v>124</v>
      </c>
      <c r="BQ206" s="1" t="s">
        <v>2765</v>
      </c>
      <c r="BR206" s="1" t="s">
        <v>2766</v>
      </c>
      <c r="BS206" s="1" t="s">
        <v>2569</v>
      </c>
      <c r="BT206" s="1" t="s">
        <v>172</v>
      </c>
      <c r="BU206" s="1" t="s">
        <v>132</v>
      </c>
      <c r="BV206" s="1" t="s">
        <v>1403</v>
      </c>
      <c r="BW206" s="1" t="s">
        <v>134</v>
      </c>
      <c r="BX206" s="1" t="s">
        <v>2767</v>
      </c>
      <c r="BY206" s="1" t="s">
        <v>135</v>
      </c>
      <c r="BZ206" s="1" t="s">
        <v>2768</v>
      </c>
      <c r="CA206" s="1">
        <v>113068</v>
      </c>
      <c r="CB206" s="1" t="s">
        <v>244</v>
      </c>
      <c r="CC206" s="1" t="s">
        <v>658</v>
      </c>
      <c r="CD206" s="1" t="s">
        <v>2769</v>
      </c>
      <c r="CE206" s="1" t="s">
        <v>660</v>
      </c>
      <c r="CF206" s="1">
        <v>51079766.469999999</v>
      </c>
      <c r="CG206" s="1">
        <v>54511742.420000002</v>
      </c>
      <c r="CH206" s="1">
        <v>115.27</v>
      </c>
      <c r="CI206" s="1">
        <v>0</v>
      </c>
      <c r="CJ206" s="1">
        <v>165.32</v>
      </c>
      <c r="CK206" s="1">
        <v>1372.23</v>
      </c>
      <c r="CL206" s="1">
        <v>210</v>
      </c>
      <c r="CM206" s="1">
        <v>165</v>
      </c>
      <c r="CN206" s="1">
        <v>0</v>
      </c>
      <c r="CO206" s="1">
        <v>0</v>
      </c>
      <c r="CP206" s="1">
        <v>0</v>
      </c>
      <c r="CQ206" s="1">
        <v>0</v>
      </c>
      <c r="CS206" s="1" t="s">
        <v>140</v>
      </c>
      <c r="CT206" s="1" t="s">
        <v>2770</v>
      </c>
      <c r="CW206" s="1" t="s">
        <v>420</v>
      </c>
      <c r="CX206" s="1" t="s">
        <v>2771</v>
      </c>
      <c r="CY206" s="1" t="s">
        <v>143</v>
      </c>
      <c r="CZ206" s="1" t="s">
        <v>144</v>
      </c>
      <c r="DA206" s="1" t="s">
        <v>145</v>
      </c>
    </row>
    <row r="207" spans="1:105" s="3" customFormat="1" ht="11.25" customHeight="1" x14ac:dyDescent="0.2">
      <c r="A207" s="1">
        <v>41</v>
      </c>
      <c r="B207" s="1" t="s">
        <v>2773</v>
      </c>
      <c r="C207" s="1" t="s">
        <v>2772</v>
      </c>
      <c r="D207" s="1">
        <v>6475</v>
      </c>
      <c r="E207" s="2" t="s">
        <v>4201</v>
      </c>
      <c r="F207" s="1" t="s">
        <v>113</v>
      </c>
      <c r="G207" s="1" t="s">
        <v>190</v>
      </c>
      <c r="H207" s="1" t="s">
        <v>2774</v>
      </c>
      <c r="I207" s="1" t="s">
        <v>193</v>
      </c>
      <c r="J207" s="1" t="s">
        <v>113</v>
      </c>
      <c r="L207" s="1" t="s">
        <v>111</v>
      </c>
      <c r="M207" s="1" t="s">
        <v>111</v>
      </c>
      <c r="N207" s="1" t="s">
        <v>2360</v>
      </c>
      <c r="O207" s="1" t="s">
        <v>113</v>
      </c>
      <c r="P207" s="1" t="s">
        <v>113</v>
      </c>
      <c r="Q207" s="1" t="s">
        <v>152</v>
      </c>
      <c r="R207" s="1" t="s">
        <v>114</v>
      </c>
      <c r="S207" s="1" t="s">
        <v>2775</v>
      </c>
      <c r="T207" s="1" t="s">
        <v>106</v>
      </c>
      <c r="U207" s="1" t="s">
        <v>2776</v>
      </c>
      <c r="V207" s="1" t="s">
        <v>1234</v>
      </c>
      <c r="W207" s="1" t="s">
        <v>199</v>
      </c>
      <c r="X207" s="1" t="s">
        <v>113</v>
      </c>
      <c r="Y207" s="1" t="s">
        <v>114</v>
      </c>
      <c r="Z207" s="1">
        <v>100</v>
      </c>
      <c r="AA207" s="1" t="s">
        <v>132</v>
      </c>
      <c r="AB207" s="1" t="s">
        <v>128</v>
      </c>
      <c r="AC207" s="1" t="s">
        <v>128</v>
      </c>
      <c r="AD207" s="1">
        <v>0</v>
      </c>
      <c r="AE207" s="1" t="s">
        <v>114</v>
      </c>
      <c r="AF207" s="1">
        <v>1420</v>
      </c>
      <c r="AG207" s="1" t="s">
        <v>113</v>
      </c>
      <c r="AH207" s="1">
        <v>0</v>
      </c>
      <c r="AI207" s="1">
        <v>0</v>
      </c>
      <c r="AJ207" s="1">
        <v>0</v>
      </c>
      <c r="AK207" s="1" t="s">
        <v>449</v>
      </c>
      <c r="AL207" s="1">
        <v>43</v>
      </c>
      <c r="AM207" s="1" t="s">
        <v>131</v>
      </c>
      <c r="AN207" s="1">
        <v>43</v>
      </c>
      <c r="AO207" s="1" t="s">
        <v>113</v>
      </c>
      <c r="AP207" s="1" t="s">
        <v>113</v>
      </c>
      <c r="AQ207" s="1" t="s">
        <v>114</v>
      </c>
      <c r="AR207" s="1" t="s">
        <v>114</v>
      </c>
      <c r="AS207" s="1" t="s">
        <v>114</v>
      </c>
      <c r="AT207" s="1" t="s">
        <v>628</v>
      </c>
      <c r="AU207" s="1" t="s">
        <v>113</v>
      </c>
      <c r="AV207" s="1" t="s">
        <v>113</v>
      </c>
      <c r="AW207" s="1" t="s">
        <v>164</v>
      </c>
      <c r="AX207" s="1" t="s">
        <v>165</v>
      </c>
      <c r="AY207" s="1">
        <v>0</v>
      </c>
      <c r="AZ207" s="1" t="s">
        <v>113</v>
      </c>
      <c r="BA207" s="1" t="s">
        <v>113</v>
      </c>
      <c r="BB207" s="1" t="s">
        <v>125</v>
      </c>
      <c r="BC207" s="1" t="s">
        <v>166</v>
      </c>
      <c r="BD207" s="1">
        <v>0</v>
      </c>
      <c r="BE207" s="1">
        <v>100</v>
      </c>
      <c r="BF207" s="1" t="s">
        <v>630</v>
      </c>
      <c r="BG207" s="1" t="s">
        <v>1188</v>
      </c>
      <c r="BH207" s="1" t="s">
        <v>207</v>
      </c>
      <c r="BI207" s="1" t="s">
        <v>207</v>
      </c>
      <c r="BJ207" s="1" t="s">
        <v>128</v>
      </c>
      <c r="BK207" s="1">
        <v>3</v>
      </c>
      <c r="BL207" s="1" t="s">
        <v>270</v>
      </c>
      <c r="BM207" s="1" t="s">
        <v>472</v>
      </c>
      <c r="BN207" s="1" t="s">
        <v>143</v>
      </c>
      <c r="BO207" s="1">
        <v>0</v>
      </c>
      <c r="BP207" s="1" t="s">
        <v>115</v>
      </c>
      <c r="BQ207" s="1" t="s">
        <v>2777</v>
      </c>
      <c r="BR207" s="1" t="s">
        <v>2778</v>
      </c>
      <c r="BS207" s="1" t="s">
        <v>2779</v>
      </c>
      <c r="BT207" s="1" t="s">
        <v>172</v>
      </c>
      <c r="BU207" s="1" t="s">
        <v>132</v>
      </c>
      <c r="BV207" s="1" t="s">
        <v>2780</v>
      </c>
      <c r="BW207" s="1" t="s">
        <v>134</v>
      </c>
      <c r="BX207" s="1" t="s">
        <v>135</v>
      </c>
      <c r="BY207" s="1" t="s">
        <v>135</v>
      </c>
      <c r="BZ207" s="1" t="s">
        <v>2781</v>
      </c>
      <c r="CA207" s="1">
        <v>1420</v>
      </c>
      <c r="CB207" s="1" t="s">
        <v>176</v>
      </c>
      <c r="CC207" s="1" t="s">
        <v>217</v>
      </c>
      <c r="CD207" s="1" t="s">
        <v>2782</v>
      </c>
      <c r="CE207" s="1" t="s">
        <v>219</v>
      </c>
      <c r="CF207" s="6">
        <v>401776.78</v>
      </c>
      <c r="CG207" s="6">
        <v>453520.92</v>
      </c>
      <c r="CH207" s="1">
        <v>99.63</v>
      </c>
      <c r="CI207" s="1">
        <v>99.63</v>
      </c>
      <c r="CJ207" s="1">
        <v>99.63</v>
      </c>
      <c r="CK207" s="1">
        <v>298.89999999999998</v>
      </c>
      <c r="CL207" s="1">
        <v>0</v>
      </c>
      <c r="CM207" s="1">
        <v>0</v>
      </c>
      <c r="CN207" s="1">
        <v>60</v>
      </c>
      <c r="CO207" s="1">
        <v>0</v>
      </c>
      <c r="CP207" s="1">
        <v>0</v>
      </c>
      <c r="CQ207" s="1">
        <v>0</v>
      </c>
      <c r="CR207" s="1" t="s">
        <v>139</v>
      </c>
      <c r="CS207" s="1" t="s">
        <v>140</v>
      </c>
      <c r="CT207" s="1" t="s">
        <v>223</v>
      </c>
      <c r="CW207" s="1" t="s">
        <v>251</v>
      </c>
      <c r="CX207" s="1" t="s">
        <v>114</v>
      </c>
      <c r="CY207" s="1" t="s">
        <v>143</v>
      </c>
      <c r="CZ207" s="1" t="s">
        <v>144</v>
      </c>
      <c r="DA207" s="1" t="s">
        <v>145</v>
      </c>
    </row>
    <row r="208" spans="1:105" s="3" customFormat="1" ht="11.25" customHeight="1" x14ac:dyDescent="0.2">
      <c r="A208" s="1">
        <v>41</v>
      </c>
      <c r="B208" s="1" t="s">
        <v>2784</v>
      </c>
      <c r="C208" s="1" t="s">
        <v>2783</v>
      </c>
      <c r="D208" s="1">
        <v>6767</v>
      </c>
      <c r="E208" s="2" t="s">
        <v>4201</v>
      </c>
      <c r="F208" s="1" t="s">
        <v>106</v>
      </c>
      <c r="G208" s="1" t="s">
        <v>603</v>
      </c>
      <c r="H208" s="1" t="s">
        <v>604</v>
      </c>
      <c r="I208" s="1" t="s">
        <v>2785</v>
      </c>
      <c r="J208" s="1" t="s">
        <v>113</v>
      </c>
      <c r="K208" s="1" t="s">
        <v>2786</v>
      </c>
      <c r="L208" s="1" t="s">
        <v>111</v>
      </c>
      <c r="M208" s="1" t="s">
        <v>111</v>
      </c>
      <c r="N208" s="1" t="s">
        <v>112</v>
      </c>
      <c r="O208" s="1" t="s">
        <v>113</v>
      </c>
      <c r="P208" s="1" t="s">
        <v>113</v>
      </c>
      <c r="Q208" s="1" t="s">
        <v>195</v>
      </c>
      <c r="R208" s="1" t="s">
        <v>2787</v>
      </c>
      <c r="S208" s="1" t="s">
        <v>157</v>
      </c>
      <c r="T208" s="1" t="s">
        <v>113</v>
      </c>
      <c r="U208" s="1" t="s">
        <v>157</v>
      </c>
      <c r="V208" s="1" t="s">
        <v>1428</v>
      </c>
      <c r="W208" s="1" t="s">
        <v>115</v>
      </c>
      <c r="X208" s="1" t="s">
        <v>113</v>
      </c>
      <c r="Y208" s="1" t="s">
        <v>157</v>
      </c>
      <c r="Z208" s="1">
        <v>100</v>
      </c>
      <c r="AA208" s="1" t="s">
        <v>132</v>
      </c>
      <c r="AB208" s="1" t="s">
        <v>128</v>
      </c>
      <c r="AC208" s="1" t="s">
        <v>128</v>
      </c>
      <c r="AD208" s="1">
        <v>0</v>
      </c>
      <c r="AE208" s="1" t="s">
        <v>157</v>
      </c>
      <c r="AF208" s="1">
        <v>790</v>
      </c>
      <c r="AG208" s="1" t="s">
        <v>113</v>
      </c>
      <c r="AH208" s="1">
        <v>50</v>
      </c>
      <c r="AI208" s="1">
        <v>25</v>
      </c>
      <c r="AJ208" s="1">
        <v>25</v>
      </c>
      <c r="AK208" s="1" t="s">
        <v>292</v>
      </c>
      <c r="AL208" s="1">
        <v>500</v>
      </c>
      <c r="AM208" s="1" t="s">
        <v>2788</v>
      </c>
      <c r="AN208" s="1">
        <v>500</v>
      </c>
      <c r="AO208" s="1" t="s">
        <v>113</v>
      </c>
      <c r="AP208" s="1" t="s">
        <v>106</v>
      </c>
      <c r="AQ208" s="1" t="s">
        <v>2789</v>
      </c>
      <c r="AR208" s="1" t="s">
        <v>2790</v>
      </c>
      <c r="AS208" s="1" t="s">
        <v>2791</v>
      </c>
      <c r="AT208" s="1" t="s">
        <v>204</v>
      </c>
      <c r="AU208" s="1" t="s">
        <v>106</v>
      </c>
      <c r="AV208" s="1" t="s">
        <v>113</v>
      </c>
      <c r="AW208" s="1" t="s">
        <v>234</v>
      </c>
      <c r="AX208" s="1" t="s">
        <v>206</v>
      </c>
      <c r="AY208" s="1">
        <v>200</v>
      </c>
      <c r="AZ208" s="1" t="s">
        <v>113</v>
      </c>
      <c r="BA208" s="1" t="s">
        <v>113</v>
      </c>
      <c r="BB208" s="1" t="s">
        <v>125</v>
      </c>
      <c r="BC208" s="1" t="s">
        <v>166</v>
      </c>
      <c r="BD208" s="1">
        <v>0</v>
      </c>
      <c r="BE208" s="1">
        <v>100</v>
      </c>
      <c r="BF208" s="1" t="s">
        <v>167</v>
      </c>
      <c r="BG208" s="1" t="s">
        <v>132</v>
      </c>
      <c r="BH208" s="1" t="s">
        <v>168</v>
      </c>
      <c r="BI208" s="1" t="s">
        <v>168</v>
      </c>
      <c r="BJ208" s="1" t="s">
        <v>208</v>
      </c>
      <c r="BK208" s="1">
        <v>30</v>
      </c>
      <c r="BL208" s="1" t="s">
        <v>209</v>
      </c>
      <c r="BM208" s="1" t="s">
        <v>210</v>
      </c>
      <c r="BN208" s="1">
        <v>0</v>
      </c>
      <c r="BO208" s="1">
        <v>0</v>
      </c>
      <c r="BP208" s="1" t="s">
        <v>115</v>
      </c>
      <c r="BQ208" s="1" t="s">
        <v>2792</v>
      </c>
      <c r="BR208" s="1" t="s">
        <v>2793</v>
      </c>
      <c r="BS208" s="1" t="s">
        <v>2794</v>
      </c>
      <c r="BT208" s="1" t="s">
        <v>131</v>
      </c>
      <c r="BU208" s="1" t="s">
        <v>132</v>
      </c>
      <c r="BV208" s="1" t="s">
        <v>2795</v>
      </c>
      <c r="BW208" s="1" t="s">
        <v>134</v>
      </c>
      <c r="BX208" s="1" t="s">
        <v>137</v>
      </c>
      <c r="BY208" s="1" t="s">
        <v>135</v>
      </c>
      <c r="BZ208" s="1" t="s">
        <v>2796</v>
      </c>
      <c r="CA208" s="1">
        <v>790</v>
      </c>
      <c r="CB208" s="1" t="s">
        <v>176</v>
      </c>
      <c r="CC208" s="1" t="s">
        <v>177</v>
      </c>
      <c r="CD208" s="1" t="s">
        <v>2797</v>
      </c>
      <c r="CE208" s="1" t="s">
        <v>179</v>
      </c>
      <c r="CF208" s="1">
        <v>308151.15999999997</v>
      </c>
      <c r="CG208" s="1">
        <v>743730.33</v>
      </c>
      <c r="CH208" s="1">
        <v>350</v>
      </c>
      <c r="CI208" s="1">
        <v>702832.22</v>
      </c>
      <c r="CJ208" s="1">
        <v>515899.22</v>
      </c>
      <c r="CK208" s="1">
        <v>186933</v>
      </c>
      <c r="CL208" s="1">
        <v>0</v>
      </c>
      <c r="CM208" s="1">
        <v>0</v>
      </c>
      <c r="CN208" s="1">
        <v>0</v>
      </c>
      <c r="CO208" s="1">
        <v>0</v>
      </c>
      <c r="CP208" s="1">
        <v>0</v>
      </c>
      <c r="CQ208" s="1">
        <v>0</v>
      </c>
      <c r="CR208" s="1" t="s">
        <v>139</v>
      </c>
      <c r="CS208" s="1" t="s">
        <v>308</v>
      </c>
      <c r="CT208" s="1" t="s">
        <v>394</v>
      </c>
      <c r="CW208" s="1" t="s">
        <v>284</v>
      </c>
      <c r="CX208" s="1" t="s">
        <v>2798</v>
      </c>
      <c r="CY208" s="1" t="s">
        <v>143</v>
      </c>
      <c r="CZ208" s="1" t="s">
        <v>144</v>
      </c>
      <c r="DA208" s="1" t="s">
        <v>145</v>
      </c>
    </row>
    <row r="209" spans="1:105" s="3" customFormat="1" ht="11.25" customHeight="1" x14ac:dyDescent="0.2">
      <c r="A209" s="1">
        <v>41</v>
      </c>
      <c r="B209" s="1" t="s">
        <v>2800</v>
      </c>
      <c r="C209" s="1" t="s">
        <v>2799</v>
      </c>
      <c r="D209" s="1">
        <v>16386</v>
      </c>
      <c r="E209" s="2" t="s">
        <v>4201</v>
      </c>
      <c r="F209" s="1" t="s">
        <v>106</v>
      </c>
      <c r="G209" s="1" t="s">
        <v>398</v>
      </c>
      <c r="H209" s="1" t="s">
        <v>1623</v>
      </c>
      <c r="I209" s="1" t="s">
        <v>2801</v>
      </c>
      <c r="J209" s="1" t="s">
        <v>113</v>
      </c>
      <c r="K209" s="1"/>
      <c r="L209" s="1" t="s">
        <v>149</v>
      </c>
      <c r="M209" s="1" t="s">
        <v>2802</v>
      </c>
      <c r="N209" s="1" t="s">
        <v>2245</v>
      </c>
      <c r="O209" s="1" t="s">
        <v>106</v>
      </c>
      <c r="P209" s="1" t="s">
        <v>113</v>
      </c>
      <c r="Q209" s="1" t="s">
        <v>111</v>
      </c>
      <c r="R209" s="1" t="s">
        <v>157</v>
      </c>
      <c r="S209" s="1" t="s">
        <v>157</v>
      </c>
      <c r="T209" s="1" t="s">
        <v>106</v>
      </c>
      <c r="U209" s="1" t="s">
        <v>2803</v>
      </c>
      <c r="V209" s="1"/>
      <c r="W209" s="1" t="s">
        <v>115</v>
      </c>
      <c r="X209" s="1" t="s">
        <v>113</v>
      </c>
      <c r="Y209" s="1" t="s">
        <v>157</v>
      </c>
      <c r="Z209" s="1">
        <v>0</v>
      </c>
      <c r="AA209" s="1" t="s">
        <v>2804</v>
      </c>
      <c r="AB209" s="1" t="s">
        <v>128</v>
      </c>
      <c r="AC209" s="1" t="s">
        <v>128</v>
      </c>
      <c r="AD209" s="1">
        <v>0</v>
      </c>
      <c r="AE209" s="1" t="s">
        <v>2804</v>
      </c>
      <c r="AF209" s="1">
        <v>0</v>
      </c>
      <c r="AG209" s="1" t="s">
        <v>113</v>
      </c>
      <c r="AH209" s="1">
        <v>0</v>
      </c>
      <c r="AI209" s="1">
        <v>0</v>
      </c>
      <c r="AJ209" s="1">
        <v>0</v>
      </c>
      <c r="AK209" s="1" t="s">
        <v>119</v>
      </c>
      <c r="AL209" s="1">
        <v>0</v>
      </c>
      <c r="AM209" s="1" t="s">
        <v>2805</v>
      </c>
      <c r="AN209" s="1"/>
      <c r="AO209" s="1" t="s">
        <v>113</v>
      </c>
      <c r="AP209" s="1" t="s">
        <v>113</v>
      </c>
      <c r="AQ209" s="1" t="s">
        <v>157</v>
      </c>
      <c r="AR209" s="1" t="s">
        <v>157</v>
      </c>
      <c r="AS209" s="1" t="s">
        <v>157</v>
      </c>
      <c r="AT209" s="1" t="s">
        <v>123</v>
      </c>
      <c r="AU209" s="1" t="s">
        <v>113</v>
      </c>
      <c r="AV209" s="1" t="s">
        <v>113</v>
      </c>
      <c r="AW209" s="1" t="s">
        <v>164</v>
      </c>
      <c r="AX209" s="1"/>
      <c r="AY209" s="1">
        <v>0</v>
      </c>
      <c r="AZ209" s="1" t="s">
        <v>113</v>
      </c>
      <c r="BA209" s="1" t="s">
        <v>113</v>
      </c>
      <c r="BB209" s="1" t="s">
        <v>125</v>
      </c>
      <c r="BC209" s="1"/>
      <c r="BD209" s="1">
        <v>0</v>
      </c>
      <c r="BE209" s="1">
        <v>100</v>
      </c>
      <c r="BF209" s="1" t="s">
        <v>1165</v>
      </c>
      <c r="BG209" s="1" t="s">
        <v>268</v>
      </c>
      <c r="BH209" s="1" t="s">
        <v>269</v>
      </c>
      <c r="BI209" s="1" t="s">
        <v>269</v>
      </c>
      <c r="BJ209" s="1" t="s">
        <v>384</v>
      </c>
      <c r="BK209" s="1">
        <v>100</v>
      </c>
      <c r="BL209" s="1" t="s">
        <v>294</v>
      </c>
      <c r="BM209" s="1" t="s">
        <v>210</v>
      </c>
      <c r="BN209" s="1">
        <v>20</v>
      </c>
      <c r="BO209" s="1">
        <v>0</v>
      </c>
      <c r="BP209" s="1" t="s">
        <v>115</v>
      </c>
      <c r="BQ209" s="1" t="s">
        <v>2806</v>
      </c>
      <c r="BR209" s="1" t="s">
        <v>2807</v>
      </c>
      <c r="BS209" s="1" t="s">
        <v>2779</v>
      </c>
      <c r="BT209" s="1" t="s">
        <v>172</v>
      </c>
      <c r="BU209" s="1" t="s">
        <v>132</v>
      </c>
      <c r="BV209" s="1" t="s">
        <v>174</v>
      </c>
      <c r="BW209" s="1" t="s">
        <v>134</v>
      </c>
      <c r="BX209" s="1" t="s">
        <v>127</v>
      </c>
      <c r="BY209" s="1" t="s">
        <v>135</v>
      </c>
      <c r="BZ209" s="1" t="s">
        <v>2517</v>
      </c>
      <c r="CA209" s="1">
        <v>0</v>
      </c>
      <c r="CB209" s="1" t="s">
        <v>244</v>
      </c>
      <c r="CC209" s="1" t="s">
        <v>217</v>
      </c>
      <c r="CD209" s="1"/>
      <c r="CE209" s="1"/>
      <c r="CF209" s="1" t="s">
        <v>2808</v>
      </c>
      <c r="CG209" s="1" t="s">
        <v>2809</v>
      </c>
      <c r="CH209" s="1">
        <v>445</v>
      </c>
      <c r="CI209" s="1">
        <v>0</v>
      </c>
      <c r="CJ209" s="1" t="s">
        <v>2810</v>
      </c>
      <c r="CK209" s="1">
        <v>962</v>
      </c>
      <c r="CL209" s="1">
        <v>0</v>
      </c>
      <c r="CM209" s="1" t="s">
        <v>2810</v>
      </c>
      <c r="CN209" s="1">
        <v>0</v>
      </c>
      <c r="CO209" s="1">
        <v>0</v>
      </c>
      <c r="CP209" s="1">
        <v>0</v>
      </c>
      <c r="CQ209" s="1">
        <v>0</v>
      </c>
      <c r="CR209" s="1" t="s">
        <v>139</v>
      </c>
      <c r="CS209" s="1" t="s">
        <v>140</v>
      </c>
      <c r="CT209" s="1" t="s">
        <v>498</v>
      </c>
      <c r="CU209" s="1"/>
      <c r="CV209" s="1" t="s">
        <v>2154</v>
      </c>
      <c r="CW209" s="1" t="s">
        <v>284</v>
      </c>
      <c r="CX209" s="1" t="s">
        <v>2811</v>
      </c>
      <c r="CY209" s="1" t="s">
        <v>143</v>
      </c>
      <c r="CZ209" s="1" t="s">
        <v>144</v>
      </c>
      <c r="DA209" s="1" t="s">
        <v>145</v>
      </c>
    </row>
    <row r="210" spans="1:105" s="3" customFormat="1" ht="11.25" customHeight="1" x14ac:dyDescent="0.2">
      <c r="A210" s="1">
        <v>41</v>
      </c>
      <c r="B210" s="1" t="s">
        <v>2813</v>
      </c>
      <c r="C210" s="1" t="s">
        <v>2812</v>
      </c>
      <c r="D210" s="1">
        <v>4521</v>
      </c>
      <c r="E210" s="2" t="s">
        <v>4201</v>
      </c>
      <c r="F210" s="1" t="s">
        <v>113</v>
      </c>
      <c r="H210" s="1" t="s">
        <v>2814</v>
      </c>
      <c r="I210" s="1" t="s">
        <v>229</v>
      </c>
      <c r="J210" s="1" t="s">
        <v>229</v>
      </c>
      <c r="L210" s="1" t="s">
        <v>111</v>
      </c>
      <c r="M210" s="1" t="s">
        <v>111</v>
      </c>
      <c r="N210" s="1" t="s">
        <v>112</v>
      </c>
      <c r="O210" s="1" t="s">
        <v>113</v>
      </c>
      <c r="P210" s="1" t="s">
        <v>113</v>
      </c>
      <c r="Q210" s="1" t="s">
        <v>1298</v>
      </c>
      <c r="R210" s="1" t="s">
        <v>157</v>
      </c>
      <c r="S210" s="1" t="s">
        <v>114</v>
      </c>
      <c r="T210" s="1" t="s">
        <v>113</v>
      </c>
      <c r="U210" s="1" t="s">
        <v>114</v>
      </c>
      <c r="V210" s="1" t="s">
        <v>1910</v>
      </c>
      <c r="W210" s="1" t="s">
        <v>115</v>
      </c>
      <c r="X210" s="1" t="s">
        <v>113</v>
      </c>
      <c r="Z210" s="1">
        <v>50</v>
      </c>
      <c r="AA210" s="1" t="s">
        <v>116</v>
      </c>
      <c r="AB210" s="1" t="s">
        <v>128</v>
      </c>
      <c r="AC210" s="1" t="s">
        <v>118</v>
      </c>
      <c r="AD210" s="1">
        <v>30</v>
      </c>
      <c r="AE210" s="1" t="s">
        <v>116</v>
      </c>
      <c r="AF210" s="1">
        <v>80</v>
      </c>
      <c r="AG210" s="1" t="s">
        <v>113</v>
      </c>
      <c r="AH210" s="1">
        <v>70</v>
      </c>
      <c r="AI210" s="1">
        <v>30</v>
      </c>
      <c r="AJ210" s="1">
        <v>0</v>
      </c>
      <c r="AK210" s="1" t="s">
        <v>796</v>
      </c>
      <c r="AL210" s="1">
        <v>60</v>
      </c>
      <c r="AM210" s="1" t="s">
        <v>2815</v>
      </c>
      <c r="AN210" s="1">
        <v>60</v>
      </c>
      <c r="AO210" s="1" t="s">
        <v>113</v>
      </c>
      <c r="AP210" s="1" t="s">
        <v>113</v>
      </c>
      <c r="AQ210" s="1" t="s">
        <v>114</v>
      </c>
      <c r="AR210" s="1" t="s">
        <v>114</v>
      </c>
      <c r="AS210" s="1" t="s">
        <v>114</v>
      </c>
      <c r="AT210" s="1" t="s">
        <v>123</v>
      </c>
      <c r="AU210" s="1" t="s">
        <v>113</v>
      </c>
      <c r="AV210" s="1" t="s">
        <v>113</v>
      </c>
      <c r="AW210" s="1" t="s">
        <v>164</v>
      </c>
      <c r="AX210" s="1" t="s">
        <v>165</v>
      </c>
      <c r="AY210" s="1">
        <v>25</v>
      </c>
      <c r="AZ210" s="1" t="s">
        <v>113</v>
      </c>
      <c r="BA210" s="1" t="s">
        <v>113</v>
      </c>
      <c r="BB210" s="1" t="s">
        <v>125</v>
      </c>
      <c r="BC210" s="1" t="s">
        <v>166</v>
      </c>
      <c r="BD210" s="1">
        <v>25</v>
      </c>
      <c r="BE210" s="1">
        <v>100</v>
      </c>
      <c r="BF210" s="1" t="s">
        <v>167</v>
      </c>
      <c r="BG210" s="1" t="s">
        <v>116</v>
      </c>
      <c r="BH210" s="1" t="s">
        <v>1605</v>
      </c>
      <c r="BI210" s="1" t="s">
        <v>1605</v>
      </c>
      <c r="BJ210" s="1" t="s">
        <v>208</v>
      </c>
      <c r="BK210" s="1">
        <v>0</v>
      </c>
      <c r="BL210" s="1" t="s">
        <v>127</v>
      </c>
      <c r="BM210" s="1" t="s">
        <v>114</v>
      </c>
      <c r="BN210" s="1" t="s">
        <v>143</v>
      </c>
      <c r="BO210" s="1" t="s">
        <v>143</v>
      </c>
      <c r="BP210" s="1" t="s">
        <v>115</v>
      </c>
      <c r="BQ210" s="1" t="s">
        <v>2816</v>
      </c>
      <c r="BR210" s="1" t="s">
        <v>127</v>
      </c>
      <c r="BS210" s="1" t="s">
        <v>2817</v>
      </c>
      <c r="BT210" s="1" t="s">
        <v>172</v>
      </c>
      <c r="BU210" s="1" t="s">
        <v>132</v>
      </c>
      <c r="BV210" s="1" t="s">
        <v>2028</v>
      </c>
      <c r="BW210" s="1" t="s">
        <v>134</v>
      </c>
      <c r="BX210" s="1" t="s">
        <v>325</v>
      </c>
      <c r="BY210" s="1" t="s">
        <v>241</v>
      </c>
      <c r="BZ210" s="1" t="s">
        <v>127</v>
      </c>
      <c r="CA210" s="1">
        <v>30</v>
      </c>
      <c r="CB210" s="1" t="s">
        <v>176</v>
      </c>
      <c r="CC210" s="1" t="s">
        <v>301</v>
      </c>
      <c r="CE210" s="1" t="s">
        <v>458</v>
      </c>
      <c r="CF210" s="5" t="s">
        <v>126</v>
      </c>
      <c r="CG210" s="5" t="s">
        <v>126</v>
      </c>
      <c r="CH210" s="5" t="s">
        <v>126</v>
      </c>
      <c r="CI210" s="5" t="s">
        <v>126</v>
      </c>
      <c r="CJ210" s="5" t="s">
        <v>126</v>
      </c>
      <c r="CK210" s="5" t="s">
        <v>126</v>
      </c>
      <c r="CL210" s="5" t="s">
        <v>126</v>
      </c>
      <c r="CM210" s="5" t="s">
        <v>126</v>
      </c>
      <c r="CN210" s="5" t="s">
        <v>126</v>
      </c>
      <c r="CO210" s="5" t="s">
        <v>126</v>
      </c>
      <c r="CP210" s="5" t="s">
        <v>126</v>
      </c>
      <c r="CQ210" s="5" t="s">
        <v>126</v>
      </c>
      <c r="CR210" s="1" t="s">
        <v>139</v>
      </c>
      <c r="CS210" s="1" t="s">
        <v>2818</v>
      </c>
      <c r="CT210" s="1" t="s">
        <v>479</v>
      </c>
      <c r="CU210" s="1" t="s">
        <v>460</v>
      </c>
      <c r="CW210" s="1" t="s">
        <v>420</v>
      </c>
      <c r="CX210" s="1" t="s">
        <v>127</v>
      </c>
      <c r="CY210" s="1" t="s">
        <v>143</v>
      </c>
      <c r="CZ210" s="1" t="s">
        <v>144</v>
      </c>
      <c r="DA210" s="1" t="s">
        <v>145</v>
      </c>
    </row>
    <row r="211" spans="1:105" s="3" customFormat="1" ht="11.25" customHeight="1" x14ac:dyDescent="0.2">
      <c r="A211" s="1">
        <v>41</v>
      </c>
      <c r="B211" s="1" t="s">
        <v>2820</v>
      </c>
      <c r="C211" s="1" t="s">
        <v>2819</v>
      </c>
      <c r="D211" s="1">
        <v>4778</v>
      </c>
      <c r="E211" s="2" t="s">
        <v>4201</v>
      </c>
      <c r="F211" s="1" t="s">
        <v>106</v>
      </c>
      <c r="G211" s="1" t="s">
        <v>398</v>
      </c>
      <c r="H211" s="1" t="s">
        <v>2821</v>
      </c>
      <c r="I211" s="1" t="s">
        <v>605</v>
      </c>
      <c r="J211" s="1" t="s">
        <v>113</v>
      </c>
      <c r="L211" s="1" t="s">
        <v>111</v>
      </c>
      <c r="M211" s="1" t="s">
        <v>705</v>
      </c>
      <c r="N211" s="1" t="s">
        <v>112</v>
      </c>
      <c r="O211" s="1" t="s">
        <v>106</v>
      </c>
      <c r="P211" s="1" t="s">
        <v>113</v>
      </c>
      <c r="Q211" s="1" t="s">
        <v>195</v>
      </c>
      <c r="R211" s="1" t="s">
        <v>2822</v>
      </c>
      <c r="S211" s="1" t="s">
        <v>1475</v>
      </c>
      <c r="T211" s="1" t="s">
        <v>106</v>
      </c>
      <c r="U211" s="1" t="s">
        <v>2823</v>
      </c>
      <c r="V211" s="1" t="s">
        <v>2824</v>
      </c>
      <c r="W211" s="1" t="s">
        <v>199</v>
      </c>
      <c r="X211" s="1" t="s">
        <v>113</v>
      </c>
      <c r="Y211" s="1" t="s">
        <v>709</v>
      </c>
      <c r="Z211" s="1">
        <v>100</v>
      </c>
      <c r="AA211" s="1" t="s">
        <v>116</v>
      </c>
      <c r="AB211" s="1" t="s">
        <v>158</v>
      </c>
      <c r="AC211" s="1" t="s">
        <v>384</v>
      </c>
      <c r="AD211" s="1">
        <v>100</v>
      </c>
      <c r="AE211" s="1" t="s">
        <v>116</v>
      </c>
      <c r="AF211" s="4">
        <v>405000</v>
      </c>
      <c r="AG211" s="1" t="s">
        <v>113</v>
      </c>
      <c r="AH211" s="1">
        <v>0</v>
      </c>
      <c r="AI211" s="1">
        <v>0</v>
      </c>
      <c r="AJ211" s="1">
        <v>0</v>
      </c>
      <c r="AK211" s="1" t="s">
        <v>408</v>
      </c>
      <c r="AL211" s="1">
        <v>0</v>
      </c>
      <c r="AM211" s="1" t="s">
        <v>172</v>
      </c>
      <c r="AN211" s="1">
        <v>0</v>
      </c>
      <c r="AO211" s="1" t="s">
        <v>113</v>
      </c>
      <c r="AP211" s="1" t="s">
        <v>106</v>
      </c>
      <c r="AQ211" s="1" t="s">
        <v>709</v>
      </c>
      <c r="AR211" s="1" t="s">
        <v>2825</v>
      </c>
      <c r="AS211" s="1" t="s">
        <v>2826</v>
      </c>
      <c r="AT211" s="1" t="s">
        <v>123</v>
      </c>
      <c r="AU211" s="1" t="s">
        <v>113</v>
      </c>
      <c r="AV211" s="1" t="s">
        <v>113</v>
      </c>
      <c r="AW211" s="1" t="s">
        <v>164</v>
      </c>
      <c r="AX211" s="1" t="s">
        <v>165</v>
      </c>
      <c r="AY211" s="1">
        <v>0</v>
      </c>
      <c r="AZ211" s="1" t="s">
        <v>113</v>
      </c>
      <c r="BA211" s="1" t="s">
        <v>113</v>
      </c>
      <c r="BB211" s="1" t="s">
        <v>125</v>
      </c>
      <c r="BC211" s="1" t="s">
        <v>166</v>
      </c>
      <c r="BD211" s="1">
        <v>0</v>
      </c>
      <c r="BE211" s="1">
        <v>100</v>
      </c>
      <c r="BF211" s="1" t="s">
        <v>167</v>
      </c>
      <c r="BG211" s="1" t="s">
        <v>116</v>
      </c>
      <c r="BH211" s="1" t="s">
        <v>207</v>
      </c>
      <c r="BI211" s="1" t="s">
        <v>207</v>
      </c>
      <c r="BJ211" s="1" t="s">
        <v>384</v>
      </c>
      <c r="BK211" s="1">
        <v>100</v>
      </c>
      <c r="BL211" s="1" t="s">
        <v>167</v>
      </c>
      <c r="BM211" s="1" t="s">
        <v>210</v>
      </c>
      <c r="BN211" s="1">
        <v>0</v>
      </c>
      <c r="BO211" s="1">
        <v>4</v>
      </c>
      <c r="BP211" s="1" t="s">
        <v>115</v>
      </c>
      <c r="BQ211" s="1" t="s">
        <v>1469</v>
      </c>
      <c r="BR211" s="1" t="s">
        <v>2827</v>
      </c>
      <c r="BS211" s="1" t="s">
        <v>971</v>
      </c>
      <c r="BT211" s="1" t="s">
        <v>172</v>
      </c>
      <c r="BU211" s="1" t="s">
        <v>132</v>
      </c>
      <c r="BV211" s="1" t="s">
        <v>951</v>
      </c>
      <c r="BW211" s="1" t="s">
        <v>2828</v>
      </c>
      <c r="BX211" s="1" t="s">
        <v>633</v>
      </c>
      <c r="BY211" s="1" t="s">
        <v>135</v>
      </c>
      <c r="BZ211" s="1" t="s">
        <v>2829</v>
      </c>
      <c r="CA211" s="4">
        <v>405000</v>
      </c>
      <c r="CB211" s="1" t="s">
        <v>176</v>
      </c>
      <c r="CC211" s="1" t="s">
        <v>177</v>
      </c>
      <c r="CD211" s="1" t="s">
        <v>2830</v>
      </c>
      <c r="CE211" s="1" t="s">
        <v>179</v>
      </c>
      <c r="CF211" s="6">
        <v>284234</v>
      </c>
      <c r="CG211" s="6">
        <v>104807</v>
      </c>
      <c r="CH211" s="1">
        <v>0</v>
      </c>
      <c r="CI211" s="1">
        <v>250</v>
      </c>
      <c r="CJ211" s="1">
        <v>0</v>
      </c>
      <c r="CK211" s="1">
        <v>0</v>
      </c>
      <c r="CL211" s="1">
        <v>0</v>
      </c>
      <c r="CM211" s="1">
        <v>0</v>
      </c>
      <c r="CN211" s="1">
        <v>0</v>
      </c>
      <c r="CO211" s="1">
        <v>0</v>
      </c>
      <c r="CP211" s="1">
        <v>0</v>
      </c>
      <c r="CQ211" s="1">
        <v>0</v>
      </c>
      <c r="CR211" s="1" t="s">
        <v>418</v>
      </c>
      <c r="CS211" s="1" t="s">
        <v>140</v>
      </c>
      <c r="CT211" s="1" t="s">
        <v>2831</v>
      </c>
      <c r="CW211" s="1" t="s">
        <v>141</v>
      </c>
      <c r="CX211" s="1" t="s">
        <v>2832</v>
      </c>
      <c r="CY211" s="1" t="s">
        <v>1820</v>
      </c>
      <c r="CZ211" s="1" t="s">
        <v>144</v>
      </c>
      <c r="DA211" s="1" t="s">
        <v>145</v>
      </c>
    </row>
    <row r="212" spans="1:105" s="3" customFormat="1" ht="11.25" customHeight="1" x14ac:dyDescent="0.2">
      <c r="A212" s="1">
        <v>41</v>
      </c>
      <c r="B212" s="1" t="s">
        <v>2834</v>
      </c>
      <c r="C212" s="1" t="s">
        <v>2833</v>
      </c>
      <c r="D212" s="1">
        <v>19022</v>
      </c>
      <c r="E212" s="2" t="s">
        <v>4201</v>
      </c>
      <c r="F212" s="1" t="s">
        <v>113</v>
      </c>
      <c r="G212" s="1" t="s">
        <v>398</v>
      </c>
      <c r="H212" s="1" t="s">
        <v>2835</v>
      </c>
      <c r="I212" s="1" t="s">
        <v>2836</v>
      </c>
      <c r="J212" s="1" t="s">
        <v>113</v>
      </c>
      <c r="L212" s="1" t="s">
        <v>149</v>
      </c>
      <c r="M212" s="1" t="s">
        <v>2837</v>
      </c>
      <c r="N212" s="1" t="s">
        <v>1814</v>
      </c>
      <c r="O212" s="1" t="s">
        <v>106</v>
      </c>
      <c r="P212" s="1" t="s">
        <v>106</v>
      </c>
      <c r="Q212" s="1" t="s">
        <v>195</v>
      </c>
      <c r="R212" s="1" t="s">
        <v>2838</v>
      </c>
      <c r="S212" s="1" t="s">
        <v>114</v>
      </c>
      <c r="T212" s="1" t="s">
        <v>106</v>
      </c>
      <c r="U212" s="1" t="s">
        <v>2837</v>
      </c>
      <c r="V212" s="1" t="s">
        <v>2839</v>
      </c>
      <c r="W212" s="1" t="s">
        <v>115</v>
      </c>
      <c r="X212" s="1" t="s">
        <v>113</v>
      </c>
      <c r="Y212" s="1" t="s">
        <v>114</v>
      </c>
      <c r="Z212" s="1">
        <v>100</v>
      </c>
      <c r="AA212" s="1" t="s">
        <v>132</v>
      </c>
      <c r="AB212" s="1" t="s">
        <v>128</v>
      </c>
      <c r="AC212" s="1" t="s">
        <v>128</v>
      </c>
      <c r="AD212" s="1">
        <v>0</v>
      </c>
      <c r="AE212" s="1" t="s">
        <v>2840</v>
      </c>
      <c r="AF212" s="1">
        <v>2426</v>
      </c>
      <c r="AG212" s="1" t="s">
        <v>106</v>
      </c>
      <c r="AH212" s="1">
        <v>31</v>
      </c>
      <c r="AI212" s="1">
        <v>22</v>
      </c>
      <c r="AJ212" s="1">
        <v>24</v>
      </c>
      <c r="AK212" s="1" t="s">
        <v>796</v>
      </c>
      <c r="AM212" s="1" t="s">
        <v>2841</v>
      </c>
      <c r="AO212" s="1" t="s">
        <v>113</v>
      </c>
      <c r="AP212" s="1" t="s">
        <v>113</v>
      </c>
      <c r="AQ212" s="1" t="s">
        <v>114</v>
      </c>
      <c r="AR212" s="1" t="s">
        <v>114</v>
      </c>
      <c r="AS212" s="1" t="s">
        <v>114</v>
      </c>
      <c r="AT212" s="1" t="s">
        <v>204</v>
      </c>
      <c r="AU212" s="1" t="s">
        <v>106</v>
      </c>
      <c r="AV212" s="1" t="s">
        <v>113</v>
      </c>
      <c r="AW212" s="1" t="s">
        <v>164</v>
      </c>
      <c r="AX212" s="1" t="s">
        <v>206</v>
      </c>
      <c r="AY212" s="1">
        <v>0</v>
      </c>
      <c r="AZ212" s="1" t="s">
        <v>113</v>
      </c>
      <c r="BA212" s="1" t="s">
        <v>113</v>
      </c>
      <c r="BB212" s="1" t="s">
        <v>125</v>
      </c>
      <c r="BD212" s="1">
        <v>0</v>
      </c>
      <c r="BE212" s="1">
        <v>100</v>
      </c>
      <c r="BF212" s="1" t="s">
        <v>167</v>
      </c>
      <c r="BG212" s="1" t="s">
        <v>383</v>
      </c>
      <c r="BH212" s="1" t="s">
        <v>269</v>
      </c>
      <c r="BI212" s="1" t="s">
        <v>269</v>
      </c>
      <c r="BJ212" s="1" t="s">
        <v>384</v>
      </c>
      <c r="BK212" s="1">
        <v>100</v>
      </c>
      <c r="BL212" s="1" t="s">
        <v>270</v>
      </c>
      <c r="BM212" s="1" t="s">
        <v>386</v>
      </c>
      <c r="BN212" s="1">
        <v>19</v>
      </c>
      <c r="BO212" s="1">
        <v>0</v>
      </c>
      <c r="BP212" s="1" t="s">
        <v>124</v>
      </c>
      <c r="BQ212" s="1" t="s">
        <v>114</v>
      </c>
      <c r="BR212" s="1" t="s">
        <v>2842</v>
      </c>
      <c r="BS212" s="1" t="s">
        <v>2843</v>
      </c>
      <c r="BT212" s="1" t="s">
        <v>172</v>
      </c>
      <c r="BU212" s="1" t="s">
        <v>239</v>
      </c>
      <c r="BV212" s="1" t="s">
        <v>2844</v>
      </c>
      <c r="BW212" s="1" t="s">
        <v>134</v>
      </c>
      <c r="BX212" s="1" t="s">
        <v>325</v>
      </c>
      <c r="BY212" s="1" t="s">
        <v>135</v>
      </c>
      <c r="BZ212" s="1" t="s">
        <v>2845</v>
      </c>
      <c r="CA212" s="1">
        <v>4000</v>
      </c>
      <c r="CB212" s="1" t="s">
        <v>176</v>
      </c>
      <c r="CC212" s="1" t="s">
        <v>2846</v>
      </c>
      <c r="CE212" s="1" t="s">
        <v>660</v>
      </c>
      <c r="CF212" s="1">
        <v>1331682</v>
      </c>
      <c r="CG212" s="1">
        <v>2055860</v>
      </c>
      <c r="CH212" s="1">
        <v>732470</v>
      </c>
      <c r="CI212" s="1">
        <v>0</v>
      </c>
      <c r="CJ212" s="1">
        <v>98864</v>
      </c>
      <c r="CK212" s="1">
        <v>278185</v>
      </c>
      <c r="CL212" s="1">
        <v>285570</v>
      </c>
      <c r="CM212" s="1">
        <v>0</v>
      </c>
      <c r="CN212" s="1">
        <v>0</v>
      </c>
      <c r="CO212" s="1">
        <v>0</v>
      </c>
      <c r="CP212" s="1">
        <v>0</v>
      </c>
      <c r="CQ212" s="1">
        <v>0</v>
      </c>
      <c r="CR212" s="1" t="s">
        <v>180</v>
      </c>
      <c r="CS212" s="1" t="s">
        <v>140</v>
      </c>
      <c r="CT212" s="1" t="s">
        <v>394</v>
      </c>
      <c r="CV212" s="1" t="s">
        <v>310</v>
      </c>
      <c r="CW212" s="1" t="s">
        <v>141</v>
      </c>
      <c r="CX212" s="1" t="s">
        <v>2847</v>
      </c>
      <c r="CY212" s="1" t="s">
        <v>143</v>
      </c>
      <c r="CZ212" s="1" t="s">
        <v>144</v>
      </c>
      <c r="DA212" s="1" t="s">
        <v>145</v>
      </c>
    </row>
    <row r="213" spans="1:105" s="3" customFormat="1" ht="11.25" customHeight="1" x14ac:dyDescent="0.2">
      <c r="A213" s="1">
        <v>41</v>
      </c>
      <c r="B213" s="1" t="s">
        <v>2848</v>
      </c>
      <c r="C213" s="1" t="s">
        <v>2849</v>
      </c>
      <c r="D213" s="1">
        <v>10646</v>
      </c>
      <c r="E213" s="2" t="s">
        <v>1688</v>
      </c>
      <c r="F213" s="1"/>
      <c r="G213" s="1"/>
      <c r="H213" s="1"/>
      <c r="I213" s="1"/>
      <c r="J213" s="1"/>
      <c r="K213" s="1"/>
      <c r="L213" s="1"/>
      <c r="M213" s="1"/>
      <c r="N213" s="1"/>
      <c r="O213" s="1"/>
      <c r="P213" s="1"/>
      <c r="Q213" s="1"/>
      <c r="R213" s="1"/>
      <c r="S213" s="1"/>
      <c r="T213" s="1"/>
      <c r="U213" s="1"/>
      <c r="W213" s="1"/>
      <c r="X213" s="1"/>
      <c r="Y213" s="1"/>
      <c r="Z213" s="1"/>
      <c r="AA213" s="1"/>
      <c r="AB213" s="1"/>
      <c r="AC213" s="1"/>
      <c r="AD213" s="1"/>
      <c r="AE213" s="1"/>
      <c r="AF213" s="4"/>
      <c r="AG213" s="1"/>
      <c r="AH213" s="1"/>
      <c r="AI213" s="1"/>
      <c r="AJ213" s="1"/>
      <c r="AK213" s="1"/>
      <c r="AL213" s="1"/>
      <c r="AM213" s="1"/>
      <c r="AN213" s="1"/>
      <c r="AO213" s="1"/>
      <c r="AP213" s="1"/>
      <c r="AQ213" s="1"/>
      <c r="AR213" s="1"/>
      <c r="AS213" s="1"/>
      <c r="AT213" s="1"/>
      <c r="AU213" s="1"/>
      <c r="AV213" s="1"/>
      <c r="AW213" s="1"/>
      <c r="AY213" s="1"/>
      <c r="AZ213" s="1"/>
      <c r="BA213" s="1"/>
      <c r="BB213" s="1"/>
      <c r="BD213" s="5"/>
      <c r="BE213" s="1"/>
      <c r="BF213" s="1"/>
      <c r="BG213" s="1"/>
      <c r="BJ213" s="1"/>
      <c r="BK213" s="1"/>
      <c r="BL213" s="1"/>
      <c r="BM213" s="1"/>
      <c r="BN213" s="1"/>
      <c r="BO213" s="1"/>
      <c r="BP213" s="1"/>
      <c r="BQ213" s="1"/>
      <c r="BR213" s="1"/>
      <c r="BS213" s="1"/>
      <c r="BT213" s="1"/>
      <c r="BU213" s="1"/>
      <c r="BV213" s="1"/>
      <c r="BW213" s="1"/>
      <c r="BX213" s="1"/>
      <c r="BY213" s="1"/>
      <c r="BZ213" s="1"/>
      <c r="CA213" s="1"/>
      <c r="CB213" s="1"/>
      <c r="CC213" s="1"/>
      <c r="CF213" s="1"/>
      <c r="CG213" s="1"/>
      <c r="CH213" s="4"/>
      <c r="CI213" s="4"/>
      <c r="CJ213" s="4"/>
      <c r="CK213" s="1"/>
      <c r="CL213" s="1"/>
      <c r="CM213" s="1"/>
      <c r="CN213" s="1"/>
      <c r="CO213" s="1"/>
      <c r="CP213" s="1"/>
      <c r="CQ213" s="1"/>
      <c r="CR213" s="1"/>
      <c r="CS213" s="1"/>
      <c r="CT213" s="1"/>
      <c r="CW213" s="1"/>
      <c r="CX213" s="1"/>
      <c r="CY213" s="1"/>
      <c r="CZ213" s="1"/>
      <c r="DA213" s="1"/>
    </row>
    <row r="214" spans="1:105" s="3" customFormat="1" ht="11.25" customHeight="1" x14ac:dyDescent="0.2">
      <c r="A214" s="1">
        <v>41</v>
      </c>
      <c r="B214" s="1" t="s">
        <v>2851</v>
      </c>
      <c r="C214" s="1" t="s">
        <v>2850</v>
      </c>
      <c r="D214" s="1">
        <v>41416</v>
      </c>
      <c r="E214" s="2" t="s">
        <v>4201</v>
      </c>
      <c r="F214" s="1" t="s">
        <v>106</v>
      </c>
      <c r="G214" s="1" t="s">
        <v>1664</v>
      </c>
      <c r="H214" s="1" t="s">
        <v>2852</v>
      </c>
      <c r="I214" s="1" t="s">
        <v>2412</v>
      </c>
      <c r="J214" s="1" t="s">
        <v>106</v>
      </c>
      <c r="K214" s="1" t="s">
        <v>2852</v>
      </c>
      <c r="L214" s="1" t="s">
        <v>149</v>
      </c>
      <c r="M214" s="1" t="s">
        <v>2853</v>
      </c>
      <c r="N214" s="1" t="s">
        <v>112</v>
      </c>
      <c r="O214" s="1" t="s">
        <v>106</v>
      </c>
      <c r="P214" s="1" t="s">
        <v>113</v>
      </c>
      <c r="Q214" s="1" t="s">
        <v>195</v>
      </c>
      <c r="R214" s="1" t="s">
        <v>2853</v>
      </c>
      <c r="S214" s="1" t="s">
        <v>2853</v>
      </c>
      <c r="T214" s="1" t="s">
        <v>106</v>
      </c>
      <c r="U214" s="1" t="s">
        <v>2853</v>
      </c>
      <c r="V214" s="1" t="s">
        <v>2854</v>
      </c>
      <c r="W214" s="1" t="s">
        <v>115</v>
      </c>
      <c r="X214" s="1" t="s">
        <v>113</v>
      </c>
      <c r="Z214" s="1">
        <v>100</v>
      </c>
      <c r="AA214" s="1" t="s">
        <v>132</v>
      </c>
      <c r="AB214" s="1" t="s">
        <v>128</v>
      </c>
      <c r="AC214" s="1" t="s">
        <v>384</v>
      </c>
      <c r="AD214" s="1">
        <v>100</v>
      </c>
      <c r="AE214" s="1" t="s">
        <v>132</v>
      </c>
      <c r="AF214" s="1">
        <v>9230</v>
      </c>
      <c r="AG214" s="1" t="s">
        <v>113</v>
      </c>
      <c r="AH214" s="1">
        <v>60</v>
      </c>
      <c r="AI214" s="1">
        <v>0</v>
      </c>
      <c r="AJ214" s="1">
        <v>0</v>
      </c>
      <c r="AK214" s="1" t="s">
        <v>232</v>
      </c>
      <c r="AL214" s="1">
        <v>0</v>
      </c>
      <c r="AM214" s="1" t="s">
        <v>2855</v>
      </c>
      <c r="AN214" s="1">
        <v>0</v>
      </c>
      <c r="AO214" s="1" t="s">
        <v>113</v>
      </c>
      <c r="AP214" s="1" t="s">
        <v>106</v>
      </c>
      <c r="AQ214" s="1" t="s">
        <v>2856</v>
      </c>
      <c r="AR214" s="1" t="s">
        <v>2857</v>
      </c>
      <c r="AS214" s="1" t="s">
        <v>2858</v>
      </c>
      <c r="AT214" s="1" t="s">
        <v>204</v>
      </c>
      <c r="AU214" s="1" t="s">
        <v>106</v>
      </c>
      <c r="AV214" s="1" t="s">
        <v>106</v>
      </c>
      <c r="AW214" s="1" t="s">
        <v>234</v>
      </c>
      <c r="AX214" s="1" t="s">
        <v>1113</v>
      </c>
      <c r="AY214" s="1">
        <v>6000</v>
      </c>
      <c r="AZ214" s="1" t="s">
        <v>113</v>
      </c>
      <c r="BA214" s="1" t="s">
        <v>113</v>
      </c>
      <c r="BB214" s="1" t="s">
        <v>761</v>
      </c>
      <c r="BC214" s="1" t="s">
        <v>1899</v>
      </c>
      <c r="BD214" s="1">
        <v>1800</v>
      </c>
      <c r="BE214" s="1">
        <v>80</v>
      </c>
      <c r="BF214" s="1" t="s">
        <v>630</v>
      </c>
      <c r="BG214" s="1" t="s">
        <v>268</v>
      </c>
      <c r="BH214" s="1" t="s">
        <v>269</v>
      </c>
      <c r="BI214" s="1" t="s">
        <v>269</v>
      </c>
      <c r="BJ214" s="1" t="s">
        <v>384</v>
      </c>
      <c r="BK214" s="1">
        <v>100</v>
      </c>
      <c r="BL214" s="1" t="s">
        <v>167</v>
      </c>
      <c r="BM214" s="1" t="s">
        <v>271</v>
      </c>
      <c r="BN214" s="1">
        <v>18</v>
      </c>
      <c r="BO214" s="1">
        <v>0</v>
      </c>
      <c r="BP214" s="1" t="s">
        <v>115</v>
      </c>
      <c r="BQ214" s="1" t="s">
        <v>2852</v>
      </c>
      <c r="BR214" s="1" t="s">
        <v>2858</v>
      </c>
      <c r="BS214" s="1" t="s">
        <v>2859</v>
      </c>
      <c r="BT214" s="1" t="s">
        <v>172</v>
      </c>
      <c r="BU214" s="1" t="s">
        <v>632</v>
      </c>
      <c r="BV214" s="1" t="s">
        <v>2860</v>
      </c>
      <c r="BW214" s="1" t="s">
        <v>298</v>
      </c>
      <c r="BX214" s="1" t="s">
        <v>325</v>
      </c>
      <c r="BY214" s="1" t="s">
        <v>299</v>
      </c>
      <c r="BZ214" s="1" t="s">
        <v>127</v>
      </c>
      <c r="CA214" s="1">
        <v>31000</v>
      </c>
      <c r="CB214" s="1" t="s">
        <v>176</v>
      </c>
      <c r="CC214" s="1" t="s">
        <v>177</v>
      </c>
      <c r="CD214" s="1" t="s">
        <v>2861</v>
      </c>
      <c r="CE214" s="1" t="s">
        <v>179</v>
      </c>
      <c r="CF214" s="6">
        <v>8600000</v>
      </c>
      <c r="CG214" s="6">
        <v>12500000</v>
      </c>
      <c r="CH214" s="1" t="s">
        <v>2862</v>
      </c>
      <c r="CI214" s="1" t="s">
        <v>2863</v>
      </c>
      <c r="CJ214" s="1" t="s">
        <v>2864</v>
      </c>
      <c r="CK214" s="1" t="s">
        <v>2865</v>
      </c>
      <c r="CL214" s="1">
        <v>0</v>
      </c>
      <c r="CM214" s="1">
        <v>0</v>
      </c>
      <c r="CN214" s="1">
        <v>0</v>
      </c>
      <c r="CO214" s="1">
        <v>0</v>
      </c>
      <c r="CP214" s="1">
        <v>0</v>
      </c>
      <c r="CQ214" s="1">
        <v>0</v>
      </c>
      <c r="CR214" s="1" t="s">
        <v>139</v>
      </c>
      <c r="CS214" s="1" t="s">
        <v>308</v>
      </c>
      <c r="CT214" s="1" t="s">
        <v>394</v>
      </c>
      <c r="CV214" s="1" t="s">
        <v>1033</v>
      </c>
      <c r="CW214" s="1" t="s">
        <v>251</v>
      </c>
      <c r="CX214" s="1" t="s">
        <v>127</v>
      </c>
      <c r="CY214" s="1" t="s">
        <v>143</v>
      </c>
      <c r="CZ214" s="1" t="s">
        <v>144</v>
      </c>
      <c r="DA214" s="1" t="s">
        <v>145</v>
      </c>
    </row>
    <row r="215" spans="1:105" s="3" customFormat="1" ht="11.25" customHeight="1" x14ac:dyDescent="0.2">
      <c r="A215" s="1">
        <v>41</v>
      </c>
      <c r="B215" s="1" t="s">
        <v>2866</v>
      </c>
      <c r="C215" s="1" t="s">
        <v>2867</v>
      </c>
      <c r="D215" s="1">
        <v>10693</v>
      </c>
      <c r="E215" s="2" t="s">
        <v>1688</v>
      </c>
      <c r="F215" s="1"/>
      <c r="G215" s="1"/>
      <c r="H215" s="1"/>
      <c r="I215" s="1"/>
      <c r="J215" s="1"/>
      <c r="K215" s="1"/>
      <c r="L215" s="1"/>
      <c r="M215" s="1"/>
      <c r="N215" s="1"/>
      <c r="O215" s="1"/>
      <c r="P215" s="1"/>
      <c r="Q215" s="1"/>
      <c r="R215" s="7"/>
      <c r="S215" s="1"/>
      <c r="T215" s="1"/>
      <c r="U215" s="7"/>
      <c r="V215" s="1"/>
      <c r="W215" s="1"/>
      <c r="X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V215" s="1"/>
      <c r="CW215" s="1"/>
      <c r="CX215" s="1"/>
      <c r="CY215" s="1"/>
      <c r="CZ215" s="1"/>
      <c r="DA215" s="1"/>
    </row>
    <row r="216" spans="1:105" s="3" customFormat="1" ht="11.25" customHeight="1" x14ac:dyDescent="0.2">
      <c r="A216" s="1">
        <v>41</v>
      </c>
      <c r="B216" s="1" t="s">
        <v>2869</v>
      </c>
      <c r="C216" s="1" t="s">
        <v>2868</v>
      </c>
      <c r="D216" s="1">
        <v>3237</v>
      </c>
      <c r="E216" s="2" t="s">
        <v>4201</v>
      </c>
      <c r="F216" s="1" t="s">
        <v>113</v>
      </c>
      <c r="G216" s="1" t="s">
        <v>190</v>
      </c>
      <c r="H216" s="1" t="s">
        <v>504</v>
      </c>
      <c r="I216" s="1" t="s">
        <v>229</v>
      </c>
      <c r="J216" s="1" t="s">
        <v>229</v>
      </c>
      <c r="L216" s="1" t="s">
        <v>111</v>
      </c>
      <c r="M216" s="1" t="s">
        <v>504</v>
      </c>
      <c r="N216" s="1" t="s">
        <v>112</v>
      </c>
      <c r="O216" s="1" t="s">
        <v>106</v>
      </c>
      <c r="P216" s="1" t="s">
        <v>113</v>
      </c>
      <c r="Q216" s="1" t="s">
        <v>195</v>
      </c>
      <c r="R216" s="1" t="s">
        <v>2870</v>
      </c>
      <c r="S216" s="1" t="s">
        <v>2871</v>
      </c>
      <c r="T216" s="1" t="s">
        <v>106</v>
      </c>
      <c r="U216" s="1" t="s">
        <v>2872</v>
      </c>
      <c r="V216" s="1" t="s">
        <v>2873</v>
      </c>
      <c r="W216" s="1" t="s">
        <v>115</v>
      </c>
      <c r="X216" s="1" t="s">
        <v>113</v>
      </c>
      <c r="Y216" s="1" t="s">
        <v>157</v>
      </c>
      <c r="Z216" s="1">
        <v>100</v>
      </c>
      <c r="AA216" s="1" t="s">
        <v>116</v>
      </c>
      <c r="AB216" s="1" t="s">
        <v>128</v>
      </c>
      <c r="AC216" s="1" t="s">
        <v>118</v>
      </c>
      <c r="AD216" s="1">
        <v>60</v>
      </c>
      <c r="AE216" s="1" t="s">
        <v>116</v>
      </c>
      <c r="AF216" s="1">
        <v>270</v>
      </c>
      <c r="AG216" s="1" t="s">
        <v>106</v>
      </c>
      <c r="AH216" s="1">
        <v>68</v>
      </c>
      <c r="AI216" s="1">
        <v>46</v>
      </c>
      <c r="AJ216" s="1">
        <v>25</v>
      </c>
      <c r="AK216" s="1" t="s">
        <v>232</v>
      </c>
      <c r="AL216" s="1">
        <v>600</v>
      </c>
      <c r="AM216" s="1" t="s">
        <v>2874</v>
      </c>
      <c r="AN216" s="1">
        <v>0</v>
      </c>
      <c r="AO216" s="1" t="s">
        <v>113</v>
      </c>
      <c r="AP216" s="1" t="s">
        <v>113</v>
      </c>
      <c r="AQ216" s="1" t="s">
        <v>157</v>
      </c>
      <c r="AR216" s="1" t="s">
        <v>157</v>
      </c>
      <c r="AS216" s="1" t="s">
        <v>157</v>
      </c>
      <c r="AT216" s="1" t="s">
        <v>1322</v>
      </c>
      <c r="AU216" s="1" t="s">
        <v>113</v>
      </c>
      <c r="AV216" s="1" t="s">
        <v>113</v>
      </c>
      <c r="AW216" s="1" t="s">
        <v>234</v>
      </c>
      <c r="AX216" s="1" t="s">
        <v>1113</v>
      </c>
      <c r="AY216" s="1">
        <v>10</v>
      </c>
      <c r="AZ216" s="1" t="s">
        <v>113</v>
      </c>
      <c r="BA216" s="1" t="s">
        <v>113</v>
      </c>
      <c r="BB216" s="1" t="s">
        <v>125</v>
      </c>
      <c r="BC216" s="1" t="s">
        <v>166</v>
      </c>
      <c r="BD216" s="1">
        <v>0</v>
      </c>
      <c r="BE216" s="1">
        <v>100</v>
      </c>
      <c r="BF216" s="1" t="s">
        <v>209</v>
      </c>
      <c r="BG216" s="1" t="s">
        <v>383</v>
      </c>
      <c r="BH216" s="1" t="s">
        <v>269</v>
      </c>
      <c r="BI216" s="1" t="s">
        <v>269</v>
      </c>
      <c r="BJ216" s="1" t="s">
        <v>208</v>
      </c>
      <c r="BK216" s="1">
        <v>60</v>
      </c>
      <c r="BL216" s="1" t="s">
        <v>1165</v>
      </c>
      <c r="BM216" s="1" t="s">
        <v>386</v>
      </c>
      <c r="BN216" s="1">
        <v>8</v>
      </c>
      <c r="BO216" s="1">
        <v>0</v>
      </c>
      <c r="BP216" s="1" t="s">
        <v>124</v>
      </c>
      <c r="BQ216" s="1" t="s">
        <v>504</v>
      </c>
      <c r="BR216" s="1" t="s">
        <v>2875</v>
      </c>
      <c r="BS216" s="1" t="s">
        <v>2876</v>
      </c>
      <c r="BT216" s="1" t="s">
        <v>172</v>
      </c>
      <c r="BU216" s="1" t="s">
        <v>239</v>
      </c>
      <c r="BV216" s="1" t="s">
        <v>2877</v>
      </c>
      <c r="BW216" s="1" t="s">
        <v>766</v>
      </c>
      <c r="BX216" s="1" t="s">
        <v>325</v>
      </c>
      <c r="BY216" s="1" t="s">
        <v>299</v>
      </c>
      <c r="BZ216" s="1" t="s">
        <v>676</v>
      </c>
      <c r="CA216" s="1">
        <v>218</v>
      </c>
      <c r="CB216" s="1" t="s">
        <v>137</v>
      </c>
      <c r="CC216" s="1" t="s">
        <v>138</v>
      </c>
      <c r="CD216" s="1" t="s">
        <v>504</v>
      </c>
      <c r="CE216" s="1" t="s">
        <v>179</v>
      </c>
      <c r="CF216" s="1">
        <v>0</v>
      </c>
      <c r="CG216" s="1">
        <v>44138894</v>
      </c>
      <c r="CH216" s="1" t="s">
        <v>504</v>
      </c>
      <c r="CI216" s="1">
        <v>0</v>
      </c>
      <c r="CJ216" s="1" t="s">
        <v>504</v>
      </c>
      <c r="CK216" s="1">
        <v>33308307</v>
      </c>
      <c r="CL216" s="1">
        <v>33308307</v>
      </c>
      <c r="CM216" s="1">
        <v>33308307</v>
      </c>
      <c r="CN216" s="1">
        <v>370886</v>
      </c>
      <c r="CO216" s="1">
        <v>0</v>
      </c>
      <c r="CP216" s="1">
        <v>0</v>
      </c>
      <c r="CQ216" s="1">
        <v>0</v>
      </c>
      <c r="CR216" s="1" t="s">
        <v>139</v>
      </c>
      <c r="CS216" s="1" t="s">
        <v>308</v>
      </c>
      <c r="CT216" s="1" t="s">
        <v>394</v>
      </c>
      <c r="CW216" s="1" t="s">
        <v>251</v>
      </c>
      <c r="CX216" s="1" t="s">
        <v>2878</v>
      </c>
      <c r="CY216" s="1" t="s">
        <v>143</v>
      </c>
      <c r="CZ216" s="1" t="s">
        <v>144</v>
      </c>
      <c r="DA216" s="1" t="s">
        <v>145</v>
      </c>
    </row>
    <row r="217" spans="1:105" s="3" customFormat="1" ht="11.25" customHeight="1" x14ac:dyDescent="0.2">
      <c r="A217" s="1">
        <v>41</v>
      </c>
      <c r="B217" s="1" t="s">
        <v>2879</v>
      </c>
      <c r="C217" s="1" t="s">
        <v>2880</v>
      </c>
      <c r="D217" s="1">
        <v>10799</v>
      </c>
      <c r="E217" s="2" t="s">
        <v>1688</v>
      </c>
      <c r="F217" s="1"/>
      <c r="G217" s="1"/>
      <c r="H217" s="1"/>
      <c r="I217" s="1"/>
      <c r="J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5"/>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W217" s="1"/>
      <c r="CX217" s="1"/>
      <c r="CY217" s="1"/>
      <c r="CZ217" s="1"/>
      <c r="DA217" s="1"/>
    </row>
    <row r="218" spans="1:105" s="3" customFormat="1" ht="11.25" customHeight="1" x14ac:dyDescent="0.2">
      <c r="A218" s="1">
        <v>41</v>
      </c>
      <c r="B218" s="1" t="s">
        <v>2882</v>
      </c>
      <c r="C218" s="1" t="s">
        <v>2881</v>
      </c>
      <c r="D218" s="1">
        <v>9628</v>
      </c>
      <c r="E218" s="2" t="s">
        <v>4201</v>
      </c>
      <c r="F218" s="1" t="s">
        <v>113</v>
      </c>
      <c r="G218" s="1" t="s">
        <v>190</v>
      </c>
      <c r="H218" s="1" t="s">
        <v>2883</v>
      </c>
      <c r="I218" s="1" t="s">
        <v>229</v>
      </c>
      <c r="J218" s="1" t="s">
        <v>229</v>
      </c>
      <c r="L218" s="1" t="s">
        <v>111</v>
      </c>
      <c r="M218" s="1" t="s">
        <v>705</v>
      </c>
      <c r="N218" s="1" t="s">
        <v>2245</v>
      </c>
      <c r="O218" s="1" t="s">
        <v>113</v>
      </c>
      <c r="P218" s="1" t="s">
        <v>113</v>
      </c>
      <c r="Q218" s="1" t="s">
        <v>195</v>
      </c>
      <c r="R218" s="1" t="s">
        <v>2884</v>
      </c>
      <c r="S218" s="1" t="s">
        <v>157</v>
      </c>
      <c r="T218" s="1" t="s">
        <v>106</v>
      </c>
      <c r="U218" s="1" t="s">
        <v>2885</v>
      </c>
      <c r="V218" s="1" t="s">
        <v>2717</v>
      </c>
      <c r="W218" s="1" t="s">
        <v>199</v>
      </c>
      <c r="X218" s="1" t="s">
        <v>106</v>
      </c>
      <c r="Y218" s="1" t="s">
        <v>709</v>
      </c>
      <c r="Z218" s="1">
        <v>100</v>
      </c>
      <c r="AA218" s="1" t="s">
        <v>116</v>
      </c>
      <c r="AB218" s="1" t="s">
        <v>128</v>
      </c>
      <c r="AC218" s="1" t="s">
        <v>118</v>
      </c>
      <c r="AD218" s="1">
        <v>30</v>
      </c>
      <c r="AE218" s="1" t="s">
        <v>116</v>
      </c>
      <c r="AF218" s="1">
        <v>1518</v>
      </c>
      <c r="AG218" s="1" t="s">
        <v>106</v>
      </c>
      <c r="AH218" s="1">
        <v>42</v>
      </c>
      <c r="AI218" s="1">
        <v>30</v>
      </c>
      <c r="AJ218" s="1">
        <v>28</v>
      </c>
      <c r="AK218" s="1" t="s">
        <v>449</v>
      </c>
      <c r="AM218" s="1" t="s">
        <v>2886</v>
      </c>
      <c r="AO218" s="1" t="s">
        <v>113</v>
      </c>
      <c r="AP218" s="1" t="s">
        <v>106</v>
      </c>
      <c r="AQ218" s="1" t="s">
        <v>2887</v>
      </c>
      <c r="AR218" s="1" t="s">
        <v>2888</v>
      </c>
      <c r="AS218" s="1" t="s">
        <v>2889</v>
      </c>
      <c r="AT218" s="1" t="s">
        <v>650</v>
      </c>
      <c r="AU218" s="1" t="s">
        <v>106</v>
      </c>
      <c r="AV218" s="1" t="s">
        <v>113</v>
      </c>
      <c r="AW218" s="1" t="s">
        <v>164</v>
      </c>
      <c r="AY218" s="1">
        <v>0</v>
      </c>
      <c r="AZ218" s="1" t="s">
        <v>113</v>
      </c>
      <c r="BA218" s="1" t="s">
        <v>113</v>
      </c>
      <c r="BB218" s="1" t="s">
        <v>125</v>
      </c>
      <c r="BD218" s="1">
        <v>0</v>
      </c>
      <c r="BE218" s="1">
        <v>100</v>
      </c>
      <c r="BF218" s="1" t="s">
        <v>167</v>
      </c>
      <c r="BG218" s="1" t="s">
        <v>116</v>
      </c>
      <c r="BH218" s="1" t="s">
        <v>168</v>
      </c>
      <c r="BI218" s="1" t="s">
        <v>269</v>
      </c>
      <c r="BJ218" s="1" t="s">
        <v>208</v>
      </c>
      <c r="BK218" s="1">
        <v>30</v>
      </c>
      <c r="BL218" s="1" t="s">
        <v>167</v>
      </c>
      <c r="BM218" s="1" t="s">
        <v>210</v>
      </c>
      <c r="BN218" s="1">
        <v>2</v>
      </c>
      <c r="BO218" s="1">
        <v>0</v>
      </c>
      <c r="BP218" s="1" t="s">
        <v>124</v>
      </c>
      <c r="BQ218" s="1" t="s">
        <v>2890</v>
      </c>
      <c r="BR218" s="1" t="s">
        <v>2891</v>
      </c>
      <c r="BS218" s="1" t="s">
        <v>2892</v>
      </c>
      <c r="BT218" s="1" t="s">
        <v>172</v>
      </c>
      <c r="BU218" s="1" t="s">
        <v>239</v>
      </c>
      <c r="BV218" s="1" t="s">
        <v>800</v>
      </c>
      <c r="BW218" s="1" t="s">
        <v>298</v>
      </c>
      <c r="BX218" s="1" t="s">
        <v>325</v>
      </c>
      <c r="BY218" s="1" t="s">
        <v>299</v>
      </c>
      <c r="BZ218" s="1" t="s">
        <v>2893</v>
      </c>
      <c r="CA218" s="1">
        <v>1062</v>
      </c>
      <c r="CB218" s="1" t="s">
        <v>244</v>
      </c>
      <c r="CC218" s="1" t="s">
        <v>2894</v>
      </c>
      <c r="CD218" s="1" t="s">
        <v>2895</v>
      </c>
      <c r="CE218" s="1" t="s">
        <v>660</v>
      </c>
      <c r="CF218" s="1">
        <v>170816.27</v>
      </c>
      <c r="CG218" s="1">
        <v>0</v>
      </c>
      <c r="CH218" s="1">
        <v>0</v>
      </c>
      <c r="CI218" s="1">
        <v>0</v>
      </c>
      <c r="CJ218" s="1">
        <v>0</v>
      </c>
      <c r="CK218" s="1">
        <v>0</v>
      </c>
      <c r="CL218" s="1">
        <v>0</v>
      </c>
      <c r="CM218" s="1">
        <v>0</v>
      </c>
      <c r="CN218" s="1">
        <v>0</v>
      </c>
      <c r="CO218" s="1">
        <v>0</v>
      </c>
      <c r="CP218" s="1">
        <v>0</v>
      </c>
      <c r="CQ218" s="1">
        <v>0</v>
      </c>
      <c r="CS218" s="1" t="s">
        <v>140</v>
      </c>
      <c r="CT218" s="1" t="s">
        <v>2896</v>
      </c>
      <c r="CV218" s="1" t="s">
        <v>439</v>
      </c>
      <c r="CW218" s="1" t="s">
        <v>251</v>
      </c>
      <c r="CX218" s="1" t="s">
        <v>709</v>
      </c>
      <c r="CY218" s="1" t="s">
        <v>276</v>
      </c>
      <c r="CZ218" s="1" t="s">
        <v>144</v>
      </c>
      <c r="DA218" s="1" t="s">
        <v>145</v>
      </c>
    </row>
    <row r="219" spans="1:105" s="3" customFormat="1" ht="11.25" customHeight="1" x14ac:dyDescent="0.2">
      <c r="A219" s="1">
        <v>41</v>
      </c>
      <c r="B219" s="1" t="s">
        <v>2897</v>
      </c>
      <c r="C219" s="1" t="s">
        <v>2898</v>
      </c>
      <c r="D219" s="1">
        <v>10860</v>
      </c>
      <c r="E219" s="2" t="s">
        <v>1688</v>
      </c>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V219" s="1"/>
      <c r="CW219" s="1"/>
      <c r="CX219" s="1"/>
      <c r="CY219" s="1"/>
      <c r="CZ219" s="1"/>
      <c r="DA219" s="1"/>
    </row>
    <row r="220" spans="1:105" s="3" customFormat="1" ht="11.25" customHeight="1" x14ac:dyDescent="0.2">
      <c r="A220" s="1">
        <v>41</v>
      </c>
      <c r="B220" s="1" t="s">
        <v>2900</v>
      </c>
      <c r="C220" s="1" t="s">
        <v>2899</v>
      </c>
      <c r="D220" s="1">
        <v>6136</v>
      </c>
      <c r="E220" s="2" t="s">
        <v>4201</v>
      </c>
      <c r="F220" s="1" t="s">
        <v>106</v>
      </c>
      <c r="G220" s="1" t="s">
        <v>603</v>
      </c>
      <c r="H220" s="1" t="s">
        <v>2901</v>
      </c>
      <c r="I220" s="1" t="s">
        <v>2902</v>
      </c>
      <c r="J220" s="1" t="s">
        <v>113</v>
      </c>
      <c r="K220" s="1" t="s">
        <v>2903</v>
      </c>
      <c r="L220" s="1" t="s">
        <v>2904</v>
      </c>
      <c r="M220" s="1" t="s">
        <v>2905</v>
      </c>
      <c r="N220" s="1" t="s">
        <v>2906</v>
      </c>
      <c r="O220" s="1" t="s">
        <v>113</v>
      </c>
      <c r="P220" s="1" t="s">
        <v>113</v>
      </c>
      <c r="Q220" s="1" t="s">
        <v>195</v>
      </c>
      <c r="R220" s="1" t="s">
        <v>2907</v>
      </c>
      <c r="S220" s="1" t="s">
        <v>2907</v>
      </c>
      <c r="T220" s="1" t="s">
        <v>106</v>
      </c>
      <c r="U220" s="1" t="s">
        <v>2908</v>
      </c>
      <c r="V220" s="1" t="s">
        <v>927</v>
      </c>
      <c r="W220" s="1" t="s">
        <v>755</v>
      </c>
      <c r="X220" s="1" t="s">
        <v>106</v>
      </c>
      <c r="Y220" s="1" t="s">
        <v>2909</v>
      </c>
      <c r="Z220" s="1">
        <v>100</v>
      </c>
      <c r="AA220" s="1" t="s">
        <v>132</v>
      </c>
      <c r="AB220" s="1" t="s">
        <v>128</v>
      </c>
      <c r="AC220" s="1" t="s">
        <v>118</v>
      </c>
      <c r="AD220" s="1">
        <v>70</v>
      </c>
      <c r="AE220" s="1" t="s">
        <v>159</v>
      </c>
      <c r="AF220" s="1">
        <v>600</v>
      </c>
      <c r="AG220" s="1" t="s">
        <v>113</v>
      </c>
      <c r="AH220" s="1">
        <v>50</v>
      </c>
      <c r="AI220" s="1">
        <v>50</v>
      </c>
      <c r="AJ220" s="1">
        <v>30</v>
      </c>
      <c r="AK220" s="1" t="s">
        <v>796</v>
      </c>
      <c r="AL220" s="1">
        <v>900</v>
      </c>
      <c r="AM220" s="1" t="s">
        <v>120</v>
      </c>
      <c r="AN220" s="1">
        <v>900</v>
      </c>
      <c r="AO220" s="1" t="s">
        <v>113</v>
      </c>
      <c r="AP220" s="1" t="s">
        <v>113</v>
      </c>
      <c r="AQ220" s="1" t="s">
        <v>157</v>
      </c>
      <c r="AR220" s="1" t="s">
        <v>157</v>
      </c>
      <c r="AS220" s="1" t="s">
        <v>157</v>
      </c>
      <c r="AT220" s="1" t="s">
        <v>2700</v>
      </c>
      <c r="AU220" s="1" t="s">
        <v>106</v>
      </c>
      <c r="AV220" s="1" t="s">
        <v>113</v>
      </c>
      <c r="AW220" s="1" t="s">
        <v>234</v>
      </c>
      <c r="AX220" s="1" t="s">
        <v>1113</v>
      </c>
      <c r="AY220" s="1">
        <v>500</v>
      </c>
      <c r="AZ220" s="1" t="s">
        <v>113</v>
      </c>
      <c r="BA220" s="1" t="s">
        <v>113</v>
      </c>
      <c r="BB220" s="1" t="s">
        <v>125</v>
      </c>
      <c r="BC220" s="1" t="s">
        <v>166</v>
      </c>
      <c r="BD220" s="5" t="s">
        <v>1365</v>
      </c>
      <c r="BE220" s="1">
        <v>100</v>
      </c>
      <c r="BF220" s="1" t="s">
        <v>167</v>
      </c>
      <c r="BG220" s="1" t="s">
        <v>383</v>
      </c>
      <c r="BH220" s="1" t="s">
        <v>269</v>
      </c>
      <c r="BI220" s="1" t="s">
        <v>269</v>
      </c>
      <c r="BJ220" s="1" t="s">
        <v>384</v>
      </c>
      <c r="BK220" s="1">
        <v>100</v>
      </c>
      <c r="BL220" s="1" t="s">
        <v>270</v>
      </c>
      <c r="BM220" s="1" t="s">
        <v>386</v>
      </c>
      <c r="BN220" s="1" t="s">
        <v>276</v>
      </c>
      <c r="BO220" s="1">
        <v>13</v>
      </c>
      <c r="BP220" s="1" t="s">
        <v>115</v>
      </c>
      <c r="BQ220" s="1" t="s">
        <v>2541</v>
      </c>
      <c r="BR220" s="1" t="s">
        <v>2910</v>
      </c>
      <c r="BS220" s="1" t="s">
        <v>2911</v>
      </c>
      <c r="BT220" s="1" t="s">
        <v>172</v>
      </c>
      <c r="BU220" s="1" t="s">
        <v>132</v>
      </c>
      <c r="BV220" s="1" t="s">
        <v>174</v>
      </c>
      <c r="BW220" s="1" t="s">
        <v>134</v>
      </c>
      <c r="BX220" s="1" t="s">
        <v>175</v>
      </c>
      <c r="BY220" s="1" t="s">
        <v>454</v>
      </c>
      <c r="BZ220" s="1" t="s">
        <v>2912</v>
      </c>
      <c r="CA220" s="1">
        <v>600</v>
      </c>
      <c r="CB220" s="1" t="s">
        <v>244</v>
      </c>
      <c r="CC220" s="1" t="s">
        <v>177</v>
      </c>
      <c r="CD220" s="1" t="s">
        <v>2913</v>
      </c>
      <c r="CE220" s="1" t="s">
        <v>219</v>
      </c>
      <c r="CF220" s="1">
        <v>60377923</v>
      </c>
      <c r="CG220" s="1">
        <v>108452436</v>
      </c>
      <c r="CH220" s="1">
        <v>799</v>
      </c>
      <c r="CI220" s="5" t="s">
        <v>126</v>
      </c>
      <c r="CJ220" s="1">
        <v>286</v>
      </c>
      <c r="CK220" s="1">
        <v>600</v>
      </c>
      <c r="CL220" s="1">
        <v>600</v>
      </c>
      <c r="CM220" s="5" t="s">
        <v>126</v>
      </c>
      <c r="CN220" s="5" t="s">
        <v>220</v>
      </c>
      <c r="CO220" s="5" t="s">
        <v>220</v>
      </c>
      <c r="CP220" s="5" t="s">
        <v>220</v>
      </c>
      <c r="CQ220" s="5" t="s">
        <v>220</v>
      </c>
      <c r="CR220" s="1" t="s">
        <v>418</v>
      </c>
      <c r="CS220" s="1" t="s">
        <v>140</v>
      </c>
      <c r="CT220" s="1" t="s">
        <v>2914</v>
      </c>
      <c r="CU220" s="1"/>
      <c r="CV220" s="1" t="s">
        <v>2915</v>
      </c>
      <c r="CW220" s="1" t="s">
        <v>251</v>
      </c>
      <c r="CX220" s="1" t="s">
        <v>157</v>
      </c>
      <c r="CY220" s="1" t="s">
        <v>276</v>
      </c>
      <c r="CZ220" s="1" t="s">
        <v>144</v>
      </c>
      <c r="DA220" s="1" t="s">
        <v>145</v>
      </c>
    </row>
    <row r="221" spans="1:105" s="3" customFormat="1" ht="11.25" customHeight="1" x14ac:dyDescent="0.2">
      <c r="A221" s="1">
        <v>41</v>
      </c>
      <c r="B221" s="1" t="s">
        <v>2917</v>
      </c>
      <c r="C221" s="1" t="s">
        <v>2916</v>
      </c>
      <c r="D221" s="1">
        <v>2258</v>
      </c>
      <c r="E221" s="2" t="s">
        <v>4201</v>
      </c>
      <c r="F221" s="1" t="s">
        <v>106</v>
      </c>
      <c r="G221" s="1" t="s">
        <v>254</v>
      </c>
      <c r="H221" s="1" t="s">
        <v>255</v>
      </c>
      <c r="I221" s="1" t="s">
        <v>109</v>
      </c>
      <c r="J221" s="1" t="s">
        <v>106</v>
      </c>
      <c r="K221" s="1" t="s">
        <v>255</v>
      </c>
      <c r="L221" s="1" t="s">
        <v>149</v>
      </c>
      <c r="M221" s="1" t="s">
        <v>2918</v>
      </c>
      <c r="N221" s="1" t="s">
        <v>112</v>
      </c>
      <c r="O221" s="1" t="s">
        <v>113</v>
      </c>
      <c r="P221" s="1" t="s">
        <v>113</v>
      </c>
      <c r="Q221" s="1" t="s">
        <v>195</v>
      </c>
      <c r="R221" s="1" t="s">
        <v>2919</v>
      </c>
      <c r="S221" s="1" t="s">
        <v>157</v>
      </c>
      <c r="T221" s="1" t="s">
        <v>106</v>
      </c>
      <c r="U221" s="1" t="s">
        <v>2920</v>
      </c>
      <c r="V221" s="1" t="s">
        <v>2921</v>
      </c>
      <c r="W221" s="1" t="s">
        <v>199</v>
      </c>
      <c r="X221" s="1" t="s">
        <v>113</v>
      </c>
      <c r="Y221" s="1" t="s">
        <v>157</v>
      </c>
      <c r="Z221" s="1">
        <v>0</v>
      </c>
      <c r="AA221" s="1" t="s">
        <v>191</v>
      </c>
      <c r="AB221" s="1" t="s">
        <v>128</v>
      </c>
      <c r="AC221" s="1" t="s">
        <v>128</v>
      </c>
      <c r="AD221" s="1">
        <v>0</v>
      </c>
      <c r="AE221" s="1" t="s">
        <v>157</v>
      </c>
      <c r="AF221" s="1">
        <v>0</v>
      </c>
      <c r="AG221" s="1" t="s">
        <v>113</v>
      </c>
      <c r="AH221" s="1">
        <v>0</v>
      </c>
      <c r="AI221" s="1">
        <v>0</v>
      </c>
      <c r="AJ221" s="1">
        <v>0</v>
      </c>
      <c r="AK221" s="1" t="s">
        <v>232</v>
      </c>
      <c r="AL221" s="1">
        <v>0</v>
      </c>
      <c r="AM221" s="1" t="s">
        <v>2922</v>
      </c>
      <c r="AN221" s="1">
        <v>0</v>
      </c>
      <c r="AO221" s="1" t="s">
        <v>113</v>
      </c>
      <c r="AP221" s="1" t="s">
        <v>113</v>
      </c>
      <c r="AQ221" s="1" t="s">
        <v>157</v>
      </c>
      <c r="AR221" s="1" t="s">
        <v>157</v>
      </c>
      <c r="AS221" s="1" t="s">
        <v>157</v>
      </c>
      <c r="AT221" s="1" t="s">
        <v>628</v>
      </c>
      <c r="AU221" s="1" t="s">
        <v>113</v>
      </c>
      <c r="AV221" s="1" t="s">
        <v>113</v>
      </c>
      <c r="AW221" s="1" t="s">
        <v>164</v>
      </c>
      <c r="AX221" s="1" t="s">
        <v>165</v>
      </c>
      <c r="AY221" s="1">
        <v>0</v>
      </c>
      <c r="AZ221" s="1" t="s">
        <v>113</v>
      </c>
      <c r="BA221" s="1" t="s">
        <v>113</v>
      </c>
      <c r="BB221" s="1" t="s">
        <v>125</v>
      </c>
      <c r="BC221" s="1" t="s">
        <v>166</v>
      </c>
      <c r="BD221" s="1">
        <v>0</v>
      </c>
      <c r="BE221" s="1">
        <v>100</v>
      </c>
      <c r="BF221" s="1" t="s">
        <v>167</v>
      </c>
      <c r="BG221" s="1" t="s">
        <v>116</v>
      </c>
      <c r="BH221" s="1" t="s">
        <v>168</v>
      </c>
      <c r="BI221" s="1" t="s">
        <v>269</v>
      </c>
      <c r="BJ221" s="1" t="s">
        <v>208</v>
      </c>
      <c r="BK221" s="1">
        <v>100</v>
      </c>
      <c r="BL221" s="1" t="s">
        <v>167</v>
      </c>
      <c r="BM221" s="1" t="s">
        <v>210</v>
      </c>
      <c r="BN221" s="1" t="s">
        <v>143</v>
      </c>
      <c r="BP221" s="1" t="s">
        <v>115</v>
      </c>
      <c r="BQ221" s="1" t="s">
        <v>255</v>
      </c>
      <c r="BR221" s="1" t="s">
        <v>2923</v>
      </c>
      <c r="BS221" s="1" t="s">
        <v>2924</v>
      </c>
      <c r="BT221" s="1" t="s">
        <v>172</v>
      </c>
      <c r="BU221" s="1" t="s">
        <v>1239</v>
      </c>
      <c r="BV221" s="1" t="s">
        <v>275</v>
      </c>
      <c r="BW221" s="1" t="s">
        <v>134</v>
      </c>
      <c r="BX221" s="1" t="s">
        <v>157</v>
      </c>
      <c r="BY221" s="1" t="s">
        <v>135</v>
      </c>
      <c r="BZ221" s="1" t="s">
        <v>2925</v>
      </c>
      <c r="CA221" s="5" t="s">
        <v>220</v>
      </c>
      <c r="CB221" s="1" t="s">
        <v>244</v>
      </c>
      <c r="CC221" s="1" t="s">
        <v>217</v>
      </c>
      <c r="CF221" s="1">
        <v>35665.21</v>
      </c>
      <c r="CG221" s="1">
        <v>113239.92</v>
      </c>
      <c r="CH221" s="1">
        <v>0</v>
      </c>
      <c r="CI221" s="1">
        <v>0</v>
      </c>
      <c r="CJ221" s="1">
        <v>0</v>
      </c>
      <c r="CK221" s="5" t="s">
        <v>220</v>
      </c>
      <c r="CL221" s="1">
        <v>200</v>
      </c>
      <c r="CM221" s="1">
        <v>0</v>
      </c>
      <c r="CN221" s="1">
        <v>0</v>
      </c>
      <c r="CO221" s="1">
        <v>0</v>
      </c>
      <c r="CP221" s="1">
        <v>3169546</v>
      </c>
      <c r="CQ221" s="1">
        <v>0</v>
      </c>
      <c r="CR221" s="1" t="s">
        <v>139</v>
      </c>
      <c r="CS221" s="1" t="s">
        <v>308</v>
      </c>
      <c r="CT221" s="1" t="s">
        <v>282</v>
      </c>
      <c r="CW221" s="1" t="s">
        <v>284</v>
      </c>
      <c r="CX221" s="1" t="s">
        <v>2926</v>
      </c>
      <c r="CY221" s="1" t="s">
        <v>143</v>
      </c>
      <c r="CZ221" s="1" t="s">
        <v>144</v>
      </c>
      <c r="DA221" s="1" t="s">
        <v>145</v>
      </c>
    </row>
    <row r="222" spans="1:105" s="3" customFormat="1" ht="11.25" customHeight="1" x14ac:dyDescent="0.2">
      <c r="A222" s="1">
        <v>41</v>
      </c>
      <c r="B222" s="1" t="s">
        <v>2928</v>
      </c>
      <c r="C222" s="1" t="s">
        <v>2927</v>
      </c>
      <c r="D222" s="1">
        <v>2008</v>
      </c>
      <c r="E222" s="2" t="s">
        <v>4201</v>
      </c>
      <c r="F222" s="1" t="s">
        <v>106</v>
      </c>
      <c r="G222" s="1" t="s">
        <v>1878</v>
      </c>
      <c r="H222" s="1" t="s">
        <v>1879</v>
      </c>
      <c r="I222" s="1" t="s">
        <v>2929</v>
      </c>
      <c r="J222" s="1" t="s">
        <v>113</v>
      </c>
      <c r="K222" s="1" t="s">
        <v>1879</v>
      </c>
      <c r="L222" s="1" t="s">
        <v>111</v>
      </c>
      <c r="M222" s="1" t="s">
        <v>111</v>
      </c>
      <c r="N222" s="1" t="s">
        <v>112</v>
      </c>
      <c r="O222" s="1" t="s">
        <v>113</v>
      </c>
      <c r="P222" s="1" t="s">
        <v>113</v>
      </c>
      <c r="Q222" s="1" t="s">
        <v>195</v>
      </c>
      <c r="R222" s="1" t="s">
        <v>2930</v>
      </c>
      <c r="S222" s="1" t="s">
        <v>114</v>
      </c>
      <c r="T222" s="1" t="s">
        <v>106</v>
      </c>
      <c r="U222" s="1" t="s">
        <v>2930</v>
      </c>
      <c r="V222" s="1" t="s">
        <v>2931</v>
      </c>
      <c r="W222" s="1" t="s">
        <v>199</v>
      </c>
      <c r="X222" s="1" t="s">
        <v>113</v>
      </c>
      <c r="Y222" s="1" t="s">
        <v>114</v>
      </c>
      <c r="Z222" s="1">
        <v>100</v>
      </c>
      <c r="AA222" s="1" t="s">
        <v>116</v>
      </c>
      <c r="AB222" s="1" t="s">
        <v>128</v>
      </c>
      <c r="AC222" s="1" t="s">
        <v>118</v>
      </c>
      <c r="AD222" s="1">
        <v>50</v>
      </c>
      <c r="AE222" s="1" t="s">
        <v>116</v>
      </c>
      <c r="AF222" s="1">
        <v>380</v>
      </c>
      <c r="AG222" s="1" t="s">
        <v>113</v>
      </c>
      <c r="AH222" s="1">
        <v>0</v>
      </c>
      <c r="AI222" s="1">
        <v>0</v>
      </c>
      <c r="AJ222" s="1">
        <v>0</v>
      </c>
      <c r="AK222" s="1" t="s">
        <v>408</v>
      </c>
      <c r="AL222" s="1">
        <v>200</v>
      </c>
      <c r="AM222" s="1" t="s">
        <v>131</v>
      </c>
      <c r="AN222" s="1">
        <v>200</v>
      </c>
      <c r="AO222" s="1" t="s">
        <v>113</v>
      </c>
      <c r="AP222" s="1" t="s">
        <v>106</v>
      </c>
      <c r="AQ222" s="1" t="s">
        <v>157</v>
      </c>
      <c r="AR222" s="1" t="s">
        <v>2932</v>
      </c>
      <c r="AS222" s="1" t="s">
        <v>2933</v>
      </c>
      <c r="AT222" s="1" t="s">
        <v>1541</v>
      </c>
      <c r="AU222" s="1" t="s">
        <v>113</v>
      </c>
      <c r="AV222" s="1" t="s">
        <v>113</v>
      </c>
      <c r="AW222" s="1" t="s">
        <v>164</v>
      </c>
      <c r="AX222" s="1" t="s">
        <v>165</v>
      </c>
      <c r="AY222" s="1">
        <v>0</v>
      </c>
      <c r="AZ222" s="1" t="s">
        <v>113</v>
      </c>
      <c r="BA222" s="1" t="s">
        <v>113</v>
      </c>
      <c r="BB222" s="1" t="s">
        <v>125</v>
      </c>
      <c r="BC222" s="1" t="s">
        <v>762</v>
      </c>
      <c r="BD222" s="1">
        <v>1</v>
      </c>
      <c r="BE222" s="1">
        <v>0</v>
      </c>
      <c r="BF222" s="1" t="s">
        <v>127</v>
      </c>
      <c r="BG222" s="1" t="s">
        <v>127</v>
      </c>
      <c r="BH222" s="1" t="s">
        <v>168</v>
      </c>
      <c r="BI222" s="1" t="s">
        <v>168</v>
      </c>
      <c r="BJ222" s="1" t="s">
        <v>128</v>
      </c>
      <c r="BK222" s="1">
        <v>0</v>
      </c>
      <c r="BL222" s="1" t="s">
        <v>127</v>
      </c>
      <c r="BM222" s="1" t="s">
        <v>114</v>
      </c>
      <c r="BN222" s="1" t="s">
        <v>143</v>
      </c>
      <c r="BO222" s="1">
        <v>0</v>
      </c>
      <c r="BP222" s="1" t="s">
        <v>115</v>
      </c>
      <c r="BQ222" s="1" t="s">
        <v>1338</v>
      </c>
      <c r="BR222" s="1" t="s">
        <v>2934</v>
      </c>
      <c r="BS222" s="1" t="s">
        <v>2935</v>
      </c>
      <c r="BT222" s="1" t="s">
        <v>172</v>
      </c>
      <c r="BU222" s="1" t="s">
        <v>132</v>
      </c>
      <c r="BV222" s="1" t="s">
        <v>2936</v>
      </c>
      <c r="BW222" s="1" t="s">
        <v>134</v>
      </c>
      <c r="BX222" s="1" t="s">
        <v>2937</v>
      </c>
      <c r="BY222" s="1" t="s">
        <v>135</v>
      </c>
      <c r="BZ222" s="1" t="s">
        <v>2938</v>
      </c>
      <c r="CA222" s="1">
        <v>380</v>
      </c>
      <c r="CB222" s="1" t="s">
        <v>244</v>
      </c>
      <c r="CC222" s="1" t="s">
        <v>217</v>
      </c>
      <c r="CD222" s="1" t="s">
        <v>2939</v>
      </c>
      <c r="CE222" s="1" t="s">
        <v>219</v>
      </c>
      <c r="CF222" s="1">
        <v>22637.05</v>
      </c>
      <c r="CG222" s="1">
        <v>208509.87</v>
      </c>
      <c r="CH222" s="1">
        <v>271.70999999999998</v>
      </c>
      <c r="CI222" s="1">
        <v>271.70999999999998</v>
      </c>
      <c r="CJ222" s="1">
        <v>275.93</v>
      </c>
      <c r="CK222" s="1">
        <v>0</v>
      </c>
      <c r="CL222" s="1">
        <v>0</v>
      </c>
      <c r="CM222" s="1">
        <v>276</v>
      </c>
      <c r="CN222" s="1">
        <v>272</v>
      </c>
      <c r="CO222" s="1">
        <v>0</v>
      </c>
      <c r="CP222" s="1">
        <v>272</v>
      </c>
      <c r="CQ222" s="1">
        <v>0</v>
      </c>
      <c r="CR222" s="1" t="s">
        <v>139</v>
      </c>
      <c r="CS222" s="1" t="s">
        <v>308</v>
      </c>
      <c r="CT222" s="1" t="s">
        <v>394</v>
      </c>
      <c r="CV222" s="1" t="s">
        <v>2940</v>
      </c>
      <c r="CW222" s="1" t="s">
        <v>420</v>
      </c>
      <c r="CX222" s="1" t="s">
        <v>2941</v>
      </c>
      <c r="CY222" s="1" t="s">
        <v>143</v>
      </c>
      <c r="CZ222" s="1" t="s">
        <v>144</v>
      </c>
      <c r="DA222" s="1" t="s">
        <v>145</v>
      </c>
    </row>
    <row r="223" spans="1:105" s="3" customFormat="1" ht="11.25" customHeight="1" x14ac:dyDescent="0.2">
      <c r="A223" s="1">
        <v>41</v>
      </c>
      <c r="B223" s="1" t="s">
        <v>2943</v>
      </c>
      <c r="C223" s="1" t="s">
        <v>2942</v>
      </c>
      <c r="D223" s="1">
        <v>11301</v>
      </c>
      <c r="E223" s="2" t="s">
        <v>4201</v>
      </c>
      <c r="F223" s="1" t="s">
        <v>106</v>
      </c>
      <c r="G223" s="1" t="s">
        <v>2944</v>
      </c>
      <c r="H223" s="1" t="s">
        <v>2945</v>
      </c>
      <c r="I223" s="1" t="s">
        <v>2946</v>
      </c>
      <c r="J223" s="1" t="s">
        <v>113</v>
      </c>
      <c r="L223" s="1" t="s">
        <v>149</v>
      </c>
      <c r="M223" s="1" t="s">
        <v>2947</v>
      </c>
      <c r="N223" s="1" t="s">
        <v>403</v>
      </c>
      <c r="O223" s="1" t="s">
        <v>106</v>
      </c>
      <c r="P223" s="1" t="s">
        <v>113</v>
      </c>
      <c r="Q223" s="1" t="s">
        <v>195</v>
      </c>
      <c r="R223" s="1" t="s">
        <v>2948</v>
      </c>
      <c r="S223" s="1" t="s">
        <v>157</v>
      </c>
      <c r="T223" s="1" t="s">
        <v>106</v>
      </c>
      <c r="U223" s="1" t="s">
        <v>2949</v>
      </c>
      <c r="V223" s="1" t="s">
        <v>2950</v>
      </c>
      <c r="W223" s="1" t="s">
        <v>115</v>
      </c>
      <c r="X223" s="1" t="s">
        <v>106</v>
      </c>
      <c r="Y223" s="1" t="s">
        <v>2951</v>
      </c>
      <c r="Z223" s="1">
        <v>100</v>
      </c>
      <c r="AA223" s="1" t="s">
        <v>116</v>
      </c>
      <c r="AB223" s="1" t="s">
        <v>128</v>
      </c>
      <c r="AC223" s="1" t="s">
        <v>128</v>
      </c>
      <c r="AD223" s="1">
        <v>0</v>
      </c>
      <c r="AE223" s="1" t="s">
        <v>116</v>
      </c>
      <c r="AF223" s="1">
        <v>1440</v>
      </c>
      <c r="AG223" s="1" t="s">
        <v>106</v>
      </c>
      <c r="AH223" s="1">
        <v>49</v>
      </c>
      <c r="AI223" s="1">
        <v>25</v>
      </c>
      <c r="AJ223" s="1">
        <v>26</v>
      </c>
      <c r="AK223" s="1" t="s">
        <v>119</v>
      </c>
      <c r="AL223" s="1">
        <v>0</v>
      </c>
      <c r="AM223" s="1" t="s">
        <v>2952</v>
      </c>
      <c r="AP223" s="1" t="s">
        <v>113</v>
      </c>
      <c r="AQ223" s="1" t="s">
        <v>127</v>
      </c>
      <c r="AR223" s="1" t="s">
        <v>127</v>
      </c>
      <c r="AS223" s="1" t="s">
        <v>127</v>
      </c>
      <c r="AT223" s="1" t="s">
        <v>123</v>
      </c>
      <c r="AU223" s="1" t="s">
        <v>113</v>
      </c>
      <c r="AV223" s="1" t="s">
        <v>113</v>
      </c>
      <c r="AW223" s="1" t="s">
        <v>164</v>
      </c>
      <c r="AY223" s="1">
        <v>0</v>
      </c>
      <c r="AZ223" s="1" t="s">
        <v>113</v>
      </c>
      <c r="BA223" s="1" t="s">
        <v>113</v>
      </c>
      <c r="BB223" s="1" t="s">
        <v>125</v>
      </c>
      <c r="BD223" s="1">
        <v>0</v>
      </c>
      <c r="BE223" s="1">
        <v>100</v>
      </c>
      <c r="BF223" s="1" t="s">
        <v>167</v>
      </c>
      <c r="BG223" s="1" t="s">
        <v>383</v>
      </c>
      <c r="BH223" s="1" t="s">
        <v>269</v>
      </c>
      <c r="BI223" s="1" t="s">
        <v>269</v>
      </c>
      <c r="BJ223" s="1" t="s">
        <v>384</v>
      </c>
      <c r="BK223" s="1">
        <v>100</v>
      </c>
      <c r="BL223" s="1" t="s">
        <v>270</v>
      </c>
      <c r="BM223" s="1" t="s">
        <v>386</v>
      </c>
      <c r="BN223" s="1">
        <v>15</v>
      </c>
      <c r="BO223" s="1">
        <v>5</v>
      </c>
      <c r="BP223" s="1" t="s">
        <v>124</v>
      </c>
      <c r="BQ223" s="1" t="s">
        <v>1688</v>
      </c>
      <c r="BR223" s="1" t="s">
        <v>2953</v>
      </c>
      <c r="BS223" s="1" t="s">
        <v>2954</v>
      </c>
      <c r="BT223" s="1" t="s">
        <v>172</v>
      </c>
      <c r="BU223" s="1" t="s">
        <v>239</v>
      </c>
      <c r="BV223" s="1" t="s">
        <v>1418</v>
      </c>
      <c r="BW223" s="1" t="s">
        <v>134</v>
      </c>
      <c r="BX223" s="1" t="s">
        <v>137</v>
      </c>
      <c r="BY223" s="1" t="s">
        <v>135</v>
      </c>
      <c r="BZ223" s="1" t="s">
        <v>2955</v>
      </c>
      <c r="CA223" s="1">
        <v>1440</v>
      </c>
      <c r="CB223" s="1" t="s">
        <v>244</v>
      </c>
      <c r="CC223" s="1" t="s">
        <v>217</v>
      </c>
      <c r="CD223" s="1" t="s">
        <v>2956</v>
      </c>
      <c r="CE223" s="1" t="s">
        <v>219</v>
      </c>
      <c r="CF223" s="1">
        <v>863444.52</v>
      </c>
      <c r="CG223" s="1">
        <v>825587.27</v>
      </c>
      <c r="CH223" s="1">
        <v>517.39</v>
      </c>
      <c r="CI223" s="1">
        <v>0</v>
      </c>
      <c r="CJ223" s="1" t="s">
        <v>2957</v>
      </c>
      <c r="CK223" s="1" t="s">
        <v>2958</v>
      </c>
      <c r="CL223" s="1">
        <v>0</v>
      </c>
      <c r="CM223" s="1">
        <v>0</v>
      </c>
      <c r="CN223" s="1" t="s">
        <v>2959</v>
      </c>
      <c r="CO223" s="1">
        <v>0</v>
      </c>
      <c r="CP223" s="1">
        <v>0</v>
      </c>
      <c r="CQ223" s="1">
        <v>0</v>
      </c>
      <c r="CR223" s="1" t="s">
        <v>139</v>
      </c>
      <c r="CS223" s="1" t="s">
        <v>140</v>
      </c>
      <c r="CT223" s="1" t="s">
        <v>282</v>
      </c>
      <c r="CU223" s="1" t="s">
        <v>2181</v>
      </c>
      <c r="CV223" s="1" t="s">
        <v>2960</v>
      </c>
      <c r="CW223" s="1" t="s">
        <v>251</v>
      </c>
      <c r="CX223" s="1" t="s">
        <v>127</v>
      </c>
      <c r="CY223" s="1" t="s">
        <v>143</v>
      </c>
      <c r="CZ223" s="1" t="s">
        <v>144</v>
      </c>
      <c r="DA223" s="1" t="s">
        <v>145</v>
      </c>
    </row>
    <row r="224" spans="1:105" s="3" customFormat="1" ht="11.25" customHeight="1" x14ac:dyDescent="0.2">
      <c r="A224" s="1">
        <v>41</v>
      </c>
      <c r="B224" s="1" t="s">
        <v>2962</v>
      </c>
      <c r="C224" s="1" t="s">
        <v>2961</v>
      </c>
      <c r="D224" s="1">
        <v>11137</v>
      </c>
      <c r="E224" s="2" t="s">
        <v>4201</v>
      </c>
      <c r="F224" s="1" t="s">
        <v>113</v>
      </c>
      <c r="G224" s="1" t="s">
        <v>190</v>
      </c>
      <c r="H224" s="1" t="s">
        <v>705</v>
      </c>
      <c r="I224" s="1" t="s">
        <v>193</v>
      </c>
      <c r="J224" s="1" t="s">
        <v>113</v>
      </c>
      <c r="K224" s="1" t="s">
        <v>736</v>
      </c>
      <c r="L224" s="1" t="s">
        <v>111</v>
      </c>
      <c r="M224" s="1" t="s">
        <v>736</v>
      </c>
      <c r="N224" s="1" t="s">
        <v>112</v>
      </c>
      <c r="O224" s="1" t="s">
        <v>113</v>
      </c>
      <c r="P224" s="1" t="s">
        <v>113</v>
      </c>
      <c r="Q224" s="1" t="s">
        <v>195</v>
      </c>
      <c r="R224" s="1" t="s">
        <v>2963</v>
      </c>
      <c r="S224" s="1" t="s">
        <v>409</v>
      </c>
      <c r="T224" s="1" t="s">
        <v>106</v>
      </c>
      <c r="U224" s="1">
        <v>2017</v>
      </c>
      <c r="V224" s="1" t="s">
        <v>2964</v>
      </c>
      <c r="W224" s="1" t="s">
        <v>199</v>
      </c>
      <c r="X224" s="1" t="s">
        <v>113</v>
      </c>
      <c r="Y224" s="1" t="s">
        <v>290</v>
      </c>
      <c r="Z224" s="1">
        <v>100</v>
      </c>
      <c r="AA224" s="1" t="s">
        <v>116</v>
      </c>
      <c r="AB224" s="1" t="s">
        <v>128</v>
      </c>
      <c r="AC224" s="1" t="s">
        <v>118</v>
      </c>
      <c r="AD224" s="1">
        <v>30</v>
      </c>
      <c r="AE224" s="1" t="s">
        <v>116</v>
      </c>
      <c r="AF224" s="1">
        <v>2000</v>
      </c>
      <c r="AG224" s="1" t="s">
        <v>106</v>
      </c>
      <c r="AH224" s="1">
        <v>24</v>
      </c>
      <c r="AI224" s="1">
        <v>34</v>
      </c>
      <c r="AJ224" s="1">
        <v>29</v>
      </c>
      <c r="AK224" s="1" t="s">
        <v>449</v>
      </c>
      <c r="AL224" s="1">
        <v>200</v>
      </c>
      <c r="AM224" s="1" t="s">
        <v>2965</v>
      </c>
      <c r="AN224" s="1">
        <v>200</v>
      </c>
      <c r="AO224" s="1" t="s">
        <v>113</v>
      </c>
      <c r="AP224" s="1" t="s">
        <v>113</v>
      </c>
      <c r="AQ224" s="1" t="s">
        <v>745</v>
      </c>
      <c r="AR224" s="1" t="s">
        <v>745</v>
      </c>
      <c r="AS224" s="1" t="s">
        <v>745</v>
      </c>
      <c r="AT224" s="1" t="s">
        <v>1752</v>
      </c>
      <c r="AU224" s="1" t="s">
        <v>113</v>
      </c>
      <c r="AV224" s="1" t="s">
        <v>113</v>
      </c>
      <c r="AW224" s="1" t="s">
        <v>2966</v>
      </c>
      <c r="AX224" s="1" t="s">
        <v>550</v>
      </c>
      <c r="AY224" s="1">
        <v>0</v>
      </c>
      <c r="AZ224" s="1" t="s">
        <v>113</v>
      </c>
      <c r="BA224" s="1" t="s">
        <v>113</v>
      </c>
      <c r="BB224" s="1" t="s">
        <v>125</v>
      </c>
      <c r="BC224" s="1" t="s">
        <v>166</v>
      </c>
      <c r="BD224" s="1">
        <v>0</v>
      </c>
      <c r="BE224" s="1">
        <v>100</v>
      </c>
      <c r="BF224" s="1" t="s">
        <v>167</v>
      </c>
      <c r="BG224" s="1" t="s">
        <v>383</v>
      </c>
      <c r="BH224" s="1" t="s">
        <v>569</v>
      </c>
      <c r="BI224" s="1" t="s">
        <v>569</v>
      </c>
      <c r="BJ224" s="1" t="s">
        <v>208</v>
      </c>
      <c r="BK224" s="1">
        <v>30</v>
      </c>
      <c r="BL224" s="1" t="s">
        <v>167</v>
      </c>
      <c r="BM224" s="1" t="s">
        <v>210</v>
      </c>
      <c r="BN224" s="1">
        <v>35</v>
      </c>
      <c r="BO224" s="1">
        <v>0</v>
      </c>
      <c r="BP224" s="1" t="s">
        <v>124</v>
      </c>
      <c r="BQ224" s="1" t="s">
        <v>2967</v>
      </c>
      <c r="BR224" s="1" t="s">
        <v>2968</v>
      </c>
      <c r="BS224" s="1" t="s">
        <v>2969</v>
      </c>
      <c r="BT224" s="1" t="s">
        <v>172</v>
      </c>
      <c r="BU224" s="1" t="s">
        <v>239</v>
      </c>
      <c r="BV224" s="1" t="s">
        <v>765</v>
      </c>
      <c r="BW224" s="1" t="s">
        <v>134</v>
      </c>
      <c r="BX224" s="1" t="s">
        <v>409</v>
      </c>
      <c r="BY224" s="1" t="s">
        <v>135</v>
      </c>
      <c r="BZ224" s="1" t="s">
        <v>2970</v>
      </c>
      <c r="CA224" s="1">
        <v>2000</v>
      </c>
      <c r="CB224" s="1" t="s">
        <v>176</v>
      </c>
      <c r="CC224" s="1" t="s">
        <v>301</v>
      </c>
      <c r="CD224" s="1" t="s">
        <v>2971</v>
      </c>
      <c r="CE224" s="1" t="s">
        <v>179</v>
      </c>
      <c r="CF224" s="1">
        <v>350000</v>
      </c>
      <c r="CG224" s="1">
        <v>307000</v>
      </c>
      <c r="CH224" s="1">
        <v>153.5</v>
      </c>
      <c r="CI224" s="1">
        <v>0</v>
      </c>
      <c r="CJ224" s="1">
        <v>168</v>
      </c>
      <c r="CK224" s="1">
        <v>157</v>
      </c>
      <c r="CL224" s="1">
        <v>0</v>
      </c>
      <c r="CM224" s="1">
        <v>0</v>
      </c>
      <c r="CN224" s="1">
        <v>134</v>
      </c>
      <c r="CO224" s="1">
        <v>0</v>
      </c>
      <c r="CP224" s="1">
        <v>0</v>
      </c>
      <c r="CQ224" s="1">
        <v>0</v>
      </c>
      <c r="CS224" s="1" t="s">
        <v>140</v>
      </c>
      <c r="CT224" s="1" t="s">
        <v>573</v>
      </c>
      <c r="CV224" s="1" t="s">
        <v>439</v>
      </c>
      <c r="CW224" s="1" t="s">
        <v>251</v>
      </c>
      <c r="CX224" s="1" t="s">
        <v>290</v>
      </c>
      <c r="CY224" s="1" t="s">
        <v>290</v>
      </c>
      <c r="CZ224" s="1" t="s">
        <v>144</v>
      </c>
      <c r="DA224" s="1" t="s">
        <v>145</v>
      </c>
    </row>
    <row r="225" spans="1:105" s="3" customFormat="1" ht="11.25" customHeight="1" x14ac:dyDescent="0.2">
      <c r="A225" s="1">
        <v>41</v>
      </c>
      <c r="B225" s="1" t="s">
        <v>2973</v>
      </c>
      <c r="C225" s="1" t="s">
        <v>2972</v>
      </c>
      <c r="D225" s="1">
        <v>18908</v>
      </c>
      <c r="E225" s="2" t="s">
        <v>4201</v>
      </c>
      <c r="F225" s="1" t="s">
        <v>113</v>
      </c>
      <c r="H225" s="1" t="s">
        <v>856</v>
      </c>
      <c r="I225" s="1" t="s">
        <v>229</v>
      </c>
      <c r="J225" s="1" t="s">
        <v>229</v>
      </c>
      <c r="L225" s="1" t="s">
        <v>149</v>
      </c>
      <c r="M225" s="1" t="s">
        <v>2974</v>
      </c>
      <c r="N225" s="1" t="s">
        <v>2975</v>
      </c>
      <c r="O225" s="1" t="s">
        <v>106</v>
      </c>
      <c r="P225" s="1" t="s">
        <v>113</v>
      </c>
      <c r="Q225" s="1" t="s">
        <v>258</v>
      </c>
      <c r="R225" s="1" t="s">
        <v>114</v>
      </c>
      <c r="S225" s="1" t="s">
        <v>2976</v>
      </c>
      <c r="T225" s="1" t="s">
        <v>106</v>
      </c>
      <c r="U225" s="1" t="s">
        <v>2974</v>
      </c>
      <c r="V225" s="1" t="s">
        <v>608</v>
      </c>
      <c r="W225" s="1" t="s">
        <v>199</v>
      </c>
      <c r="X225" s="1" t="s">
        <v>106</v>
      </c>
      <c r="Y225" s="1" t="s">
        <v>2974</v>
      </c>
      <c r="Z225" s="1">
        <v>85</v>
      </c>
      <c r="AA225" s="1" t="s">
        <v>132</v>
      </c>
      <c r="AB225" s="1" t="s">
        <v>117</v>
      </c>
      <c r="AC225" s="1" t="s">
        <v>118</v>
      </c>
      <c r="AD225" s="1">
        <v>85</v>
      </c>
      <c r="AE225" s="1" t="s">
        <v>159</v>
      </c>
      <c r="AF225" s="1">
        <v>3119</v>
      </c>
      <c r="AG225" s="1" t="s">
        <v>113</v>
      </c>
      <c r="AH225" s="1">
        <v>0</v>
      </c>
      <c r="AI225" s="1">
        <v>0</v>
      </c>
      <c r="AJ225" s="1">
        <v>0</v>
      </c>
      <c r="AK225" s="1" t="s">
        <v>796</v>
      </c>
      <c r="AL225" s="1">
        <v>100</v>
      </c>
      <c r="AM225" s="1" t="s">
        <v>233</v>
      </c>
      <c r="AN225" s="1">
        <v>0</v>
      </c>
      <c r="AO225" s="1" t="s">
        <v>113</v>
      </c>
      <c r="AP225" s="1" t="s">
        <v>113</v>
      </c>
      <c r="AQ225" s="1" t="s">
        <v>157</v>
      </c>
      <c r="AR225" s="1" t="s">
        <v>157</v>
      </c>
      <c r="AS225" s="1" t="s">
        <v>157</v>
      </c>
      <c r="AT225" s="1" t="s">
        <v>123</v>
      </c>
      <c r="AU225" s="1" t="s">
        <v>106</v>
      </c>
      <c r="AV225" s="1" t="s">
        <v>106</v>
      </c>
      <c r="AW225" s="1" t="s">
        <v>1568</v>
      </c>
      <c r="AX225" s="1" t="s">
        <v>165</v>
      </c>
      <c r="AY225" s="1">
        <v>192</v>
      </c>
      <c r="AZ225" s="1" t="s">
        <v>113</v>
      </c>
      <c r="BA225" s="1" t="s">
        <v>113</v>
      </c>
      <c r="BB225" s="1" t="s">
        <v>125</v>
      </c>
      <c r="BC225" s="1" t="s">
        <v>166</v>
      </c>
      <c r="BD225" s="1">
        <v>0</v>
      </c>
      <c r="BE225" s="1">
        <v>100</v>
      </c>
      <c r="BF225" s="1" t="s">
        <v>167</v>
      </c>
      <c r="BG225" s="1" t="s">
        <v>268</v>
      </c>
      <c r="BH225" s="1" t="s">
        <v>269</v>
      </c>
      <c r="BI225" s="1" t="s">
        <v>269</v>
      </c>
      <c r="BJ225" s="1" t="s">
        <v>208</v>
      </c>
      <c r="BK225" s="1">
        <v>85</v>
      </c>
      <c r="BL225" s="1" t="s">
        <v>167</v>
      </c>
      <c r="BM225" s="1" t="s">
        <v>271</v>
      </c>
      <c r="BN225" s="1">
        <v>10</v>
      </c>
      <c r="BO225" s="1">
        <v>0</v>
      </c>
      <c r="BP225" s="1" t="s">
        <v>115</v>
      </c>
      <c r="BQ225" s="1" t="s">
        <v>2977</v>
      </c>
      <c r="BR225" s="1" t="s">
        <v>2978</v>
      </c>
      <c r="BS225" s="1" t="s">
        <v>2979</v>
      </c>
      <c r="BT225" s="1" t="s">
        <v>172</v>
      </c>
      <c r="BU225" s="1" t="s">
        <v>132</v>
      </c>
      <c r="BV225" s="1" t="s">
        <v>594</v>
      </c>
      <c r="BW225" s="1" t="s">
        <v>134</v>
      </c>
      <c r="BX225" s="1" t="s">
        <v>175</v>
      </c>
      <c r="BY225" s="1" t="s">
        <v>135</v>
      </c>
      <c r="BZ225" s="1" t="s">
        <v>2980</v>
      </c>
      <c r="CA225" s="1">
        <v>3119</v>
      </c>
      <c r="CB225" s="1" t="s">
        <v>244</v>
      </c>
      <c r="CC225" s="1" t="s">
        <v>217</v>
      </c>
      <c r="CD225" s="1" t="s">
        <v>2981</v>
      </c>
      <c r="CE225" s="1" t="s">
        <v>179</v>
      </c>
      <c r="CF225" s="6">
        <v>250000</v>
      </c>
      <c r="CG225" s="6">
        <v>2650000</v>
      </c>
      <c r="CH225" s="1">
        <v>250</v>
      </c>
      <c r="CI225" s="1">
        <v>0</v>
      </c>
      <c r="CJ225" s="1">
        <v>193.55</v>
      </c>
      <c r="CK225" s="1">
        <v>407</v>
      </c>
      <c r="CL225" s="1">
        <v>407</v>
      </c>
      <c r="CM225" s="1">
        <v>193</v>
      </c>
      <c r="CN225" s="1">
        <v>150</v>
      </c>
      <c r="CO225" s="1">
        <v>0</v>
      </c>
      <c r="CP225" s="1">
        <v>0</v>
      </c>
      <c r="CQ225" s="1">
        <v>0</v>
      </c>
      <c r="CR225" s="1" t="s">
        <v>139</v>
      </c>
      <c r="CS225" s="1" t="s">
        <v>140</v>
      </c>
      <c r="CT225" s="1" t="s">
        <v>394</v>
      </c>
      <c r="CU225" s="1" t="s">
        <v>182</v>
      </c>
      <c r="CV225" s="1" t="s">
        <v>1995</v>
      </c>
      <c r="CW225" s="1" t="s">
        <v>141</v>
      </c>
      <c r="CX225" s="1" t="s">
        <v>2982</v>
      </c>
      <c r="CY225" s="1" t="s">
        <v>276</v>
      </c>
      <c r="CZ225" s="1" t="s">
        <v>144</v>
      </c>
      <c r="DA225" s="1" t="s">
        <v>145</v>
      </c>
    </row>
    <row r="226" spans="1:105" s="3" customFormat="1" ht="11.25" customHeight="1" x14ac:dyDescent="0.2">
      <c r="A226" s="1">
        <v>41</v>
      </c>
      <c r="B226" s="1" t="s">
        <v>2983</v>
      </c>
      <c r="C226" s="1" t="s">
        <v>2984</v>
      </c>
      <c r="D226" s="1">
        <v>11226</v>
      </c>
      <c r="E226" s="2" t="s">
        <v>1688</v>
      </c>
      <c r="F226" s="1"/>
      <c r="G226" s="1"/>
      <c r="H226" s="1"/>
      <c r="I226" s="1"/>
      <c r="J226" s="1"/>
      <c r="K226" s="1"/>
      <c r="L226" s="1"/>
      <c r="M226" s="1"/>
      <c r="N226" s="1"/>
      <c r="O226" s="1"/>
      <c r="P226" s="1"/>
      <c r="Q226" s="1"/>
      <c r="R226" s="1"/>
      <c r="S226" s="1"/>
      <c r="T226" s="1"/>
      <c r="U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row>
    <row r="227" spans="1:105" s="3" customFormat="1" ht="11.25" customHeight="1" x14ac:dyDescent="0.2">
      <c r="A227" s="1">
        <v>41</v>
      </c>
      <c r="B227" s="1" t="s">
        <v>2986</v>
      </c>
      <c r="C227" s="1" t="s">
        <v>2985</v>
      </c>
      <c r="D227" s="1">
        <v>4045</v>
      </c>
      <c r="E227" s="2" t="s">
        <v>4201</v>
      </c>
      <c r="F227" s="1" t="s">
        <v>113</v>
      </c>
      <c r="H227" s="1" t="s">
        <v>2563</v>
      </c>
      <c r="I227" s="1" t="s">
        <v>193</v>
      </c>
      <c r="J227" s="1" t="s">
        <v>229</v>
      </c>
      <c r="L227" s="1" t="s">
        <v>149</v>
      </c>
      <c r="M227" s="1">
        <v>1528</v>
      </c>
      <c r="N227" s="1" t="s">
        <v>2987</v>
      </c>
      <c r="O227" s="1" t="s">
        <v>113</v>
      </c>
      <c r="P227" s="1" t="s">
        <v>106</v>
      </c>
      <c r="Q227" s="1" t="s">
        <v>195</v>
      </c>
      <c r="R227" s="1" t="s">
        <v>2988</v>
      </c>
      <c r="S227" s="1" t="s">
        <v>114</v>
      </c>
      <c r="T227" s="1" t="s">
        <v>113</v>
      </c>
      <c r="U227" s="1" t="s">
        <v>114</v>
      </c>
      <c r="V227" s="1" t="s">
        <v>1160</v>
      </c>
      <c r="W227" s="1" t="s">
        <v>755</v>
      </c>
      <c r="X227" s="1" t="s">
        <v>113</v>
      </c>
      <c r="Y227" s="1" t="s">
        <v>114</v>
      </c>
      <c r="Z227" s="1">
        <v>100</v>
      </c>
      <c r="AA227" s="1" t="s">
        <v>116</v>
      </c>
      <c r="AB227" s="1" t="s">
        <v>128</v>
      </c>
      <c r="AC227" s="1" t="s">
        <v>384</v>
      </c>
      <c r="AD227" s="1">
        <v>100</v>
      </c>
      <c r="AE227" s="1" t="s">
        <v>116</v>
      </c>
      <c r="AF227" s="1">
        <v>504</v>
      </c>
      <c r="AG227" s="1" t="s">
        <v>113</v>
      </c>
      <c r="AH227" s="5" t="s">
        <v>126</v>
      </c>
      <c r="AI227" s="5" t="s">
        <v>220</v>
      </c>
      <c r="AJ227" s="5" t="s">
        <v>220</v>
      </c>
      <c r="AK227" s="1" t="s">
        <v>408</v>
      </c>
      <c r="AL227" s="5" t="s">
        <v>220</v>
      </c>
      <c r="AM227" s="1" t="s">
        <v>2989</v>
      </c>
      <c r="AN227" s="1">
        <v>0</v>
      </c>
      <c r="AP227" s="1" t="s">
        <v>106</v>
      </c>
      <c r="AQ227" s="1" t="s">
        <v>2990</v>
      </c>
      <c r="AR227" s="1" t="s">
        <v>2991</v>
      </c>
      <c r="AS227" s="1" t="s">
        <v>2992</v>
      </c>
      <c r="AT227" s="1" t="s">
        <v>123</v>
      </c>
      <c r="AU227" s="1" t="s">
        <v>106</v>
      </c>
      <c r="AV227" s="1" t="s">
        <v>113</v>
      </c>
      <c r="AW227" s="1" t="s">
        <v>1568</v>
      </c>
      <c r="AX227" s="1" t="s">
        <v>1594</v>
      </c>
      <c r="AY227" s="5" t="s">
        <v>220</v>
      </c>
      <c r="AZ227" s="1" t="s">
        <v>113</v>
      </c>
      <c r="BA227" s="1" t="s">
        <v>113</v>
      </c>
      <c r="BB227" s="1" t="s">
        <v>125</v>
      </c>
      <c r="BC227" s="1" t="s">
        <v>206</v>
      </c>
      <c r="BD227" s="5" t="s">
        <v>220</v>
      </c>
      <c r="BE227" s="1">
        <v>100</v>
      </c>
      <c r="BF227" s="1" t="s">
        <v>167</v>
      </c>
      <c r="BG227" s="1" t="s">
        <v>116</v>
      </c>
      <c r="BH227" s="1" t="s">
        <v>269</v>
      </c>
      <c r="BI227" s="1" t="s">
        <v>269</v>
      </c>
      <c r="BJ227" s="1" t="s">
        <v>384</v>
      </c>
      <c r="BK227" s="1">
        <v>100</v>
      </c>
      <c r="BL227" s="1" t="s">
        <v>270</v>
      </c>
      <c r="BM227" s="1" t="s">
        <v>210</v>
      </c>
      <c r="BN227" s="5" t="s">
        <v>2993</v>
      </c>
      <c r="BO227" s="5" t="s">
        <v>220</v>
      </c>
      <c r="BP227" s="1" t="s">
        <v>115</v>
      </c>
      <c r="BQ227" s="1" t="s">
        <v>2563</v>
      </c>
      <c r="BR227" s="1" t="s">
        <v>114</v>
      </c>
      <c r="BS227" s="1" t="s">
        <v>2563</v>
      </c>
      <c r="BT227" s="1" t="s">
        <v>172</v>
      </c>
      <c r="BU227" s="1" t="s">
        <v>132</v>
      </c>
      <c r="BV227" s="1" t="s">
        <v>2994</v>
      </c>
      <c r="BW227" s="1" t="s">
        <v>298</v>
      </c>
      <c r="BX227" s="1" t="s">
        <v>325</v>
      </c>
      <c r="BY227" s="1" t="s">
        <v>1525</v>
      </c>
      <c r="BZ227" s="1">
        <v>282578</v>
      </c>
      <c r="CA227" s="1">
        <v>504</v>
      </c>
      <c r="CB227" s="1" t="s">
        <v>244</v>
      </c>
      <c r="CC227" s="1" t="s">
        <v>177</v>
      </c>
      <c r="CD227" s="1">
        <v>102017</v>
      </c>
      <c r="CE227" s="1" t="s">
        <v>478</v>
      </c>
      <c r="CF227" s="4">
        <v>12531200</v>
      </c>
      <c r="CG227" s="6">
        <v>119000</v>
      </c>
      <c r="CH227" s="1">
        <v>24000</v>
      </c>
      <c r="CI227" s="1">
        <v>24000</v>
      </c>
      <c r="CJ227" s="1">
        <v>520</v>
      </c>
      <c r="CK227" s="1">
        <v>520</v>
      </c>
      <c r="CL227" s="1">
        <v>52000</v>
      </c>
      <c r="CM227" s="1">
        <v>240</v>
      </c>
      <c r="CN227" s="1">
        <v>7000</v>
      </c>
      <c r="CO227" s="1">
        <v>7000</v>
      </c>
      <c r="CP227" s="5" t="s">
        <v>220</v>
      </c>
      <c r="CQ227" s="5" t="s">
        <v>220</v>
      </c>
      <c r="CR227" s="1" t="s">
        <v>418</v>
      </c>
      <c r="CS227" s="1" t="s">
        <v>140</v>
      </c>
      <c r="CT227" s="1" t="s">
        <v>394</v>
      </c>
      <c r="CU227" s="1" t="s">
        <v>617</v>
      </c>
      <c r="CV227" s="1" t="s">
        <v>2915</v>
      </c>
      <c r="CW227" s="1" t="s">
        <v>251</v>
      </c>
      <c r="CX227" s="1" t="s">
        <v>2995</v>
      </c>
      <c r="CY227" s="1" t="s">
        <v>111</v>
      </c>
      <c r="CZ227" s="1" t="s">
        <v>144</v>
      </c>
      <c r="DA227" s="1" t="s">
        <v>145</v>
      </c>
    </row>
    <row r="228" spans="1:105" s="3" customFormat="1" ht="11.25" customHeight="1" x14ac:dyDescent="0.2">
      <c r="A228" s="1">
        <v>41</v>
      </c>
      <c r="B228" s="1" t="s">
        <v>2997</v>
      </c>
      <c r="C228" s="1" t="s">
        <v>2996</v>
      </c>
      <c r="D228" s="1">
        <v>3685</v>
      </c>
      <c r="E228" s="2" t="s">
        <v>4201</v>
      </c>
      <c r="F228" s="1" t="s">
        <v>106</v>
      </c>
      <c r="G228" s="1" t="s">
        <v>398</v>
      </c>
      <c r="H228" s="1" t="s">
        <v>2821</v>
      </c>
      <c r="I228" s="1" t="s">
        <v>193</v>
      </c>
      <c r="J228" s="1" t="s">
        <v>113</v>
      </c>
      <c r="L228" s="1" t="s">
        <v>149</v>
      </c>
      <c r="M228" s="1" t="s">
        <v>2998</v>
      </c>
      <c r="N228" s="1" t="s">
        <v>2360</v>
      </c>
      <c r="O228" s="1" t="s">
        <v>113</v>
      </c>
      <c r="P228" s="1" t="s">
        <v>113</v>
      </c>
      <c r="Q228" s="1" t="s">
        <v>111</v>
      </c>
      <c r="R228" s="1" t="s">
        <v>114</v>
      </c>
      <c r="S228" s="1" t="s">
        <v>114</v>
      </c>
      <c r="T228" s="1" t="s">
        <v>113</v>
      </c>
      <c r="U228" s="1" t="s">
        <v>114</v>
      </c>
      <c r="W228" s="1" t="s">
        <v>115</v>
      </c>
      <c r="X228" s="1" t="s">
        <v>113</v>
      </c>
      <c r="Y228" s="1" t="s">
        <v>114</v>
      </c>
      <c r="Z228" s="1">
        <v>100</v>
      </c>
      <c r="AA228" s="1" t="s">
        <v>116</v>
      </c>
      <c r="AB228" s="1" t="s">
        <v>128</v>
      </c>
      <c r="AC228" s="1" t="s">
        <v>128</v>
      </c>
      <c r="AD228" s="1">
        <v>0</v>
      </c>
      <c r="AE228" s="1" t="s">
        <v>116</v>
      </c>
      <c r="AF228" s="1">
        <v>434</v>
      </c>
      <c r="AG228" s="1" t="s">
        <v>113</v>
      </c>
      <c r="AH228" s="1">
        <v>0</v>
      </c>
      <c r="AI228" s="1">
        <v>0</v>
      </c>
      <c r="AJ228" s="1">
        <v>0</v>
      </c>
      <c r="AK228" s="1" t="s">
        <v>449</v>
      </c>
      <c r="AL228" s="1">
        <v>80</v>
      </c>
      <c r="AM228" s="1" t="s">
        <v>2999</v>
      </c>
      <c r="AN228" s="1">
        <v>0</v>
      </c>
      <c r="AO228" s="1" t="s">
        <v>113</v>
      </c>
      <c r="AP228" s="1" t="s">
        <v>113</v>
      </c>
      <c r="AQ228" s="1" t="s">
        <v>114</v>
      </c>
      <c r="AR228" s="1" t="s">
        <v>114</v>
      </c>
      <c r="AS228" s="1" t="s">
        <v>114</v>
      </c>
      <c r="AT228" s="1" t="s">
        <v>123</v>
      </c>
      <c r="AU228" s="1" t="s">
        <v>106</v>
      </c>
      <c r="AV228" s="1" t="s">
        <v>113</v>
      </c>
      <c r="AW228" s="1" t="s">
        <v>164</v>
      </c>
      <c r="AX228" s="1" t="s">
        <v>165</v>
      </c>
      <c r="AY228" s="1">
        <v>20</v>
      </c>
      <c r="AZ228" s="1" t="s">
        <v>106</v>
      </c>
      <c r="BA228" s="1" t="s">
        <v>113</v>
      </c>
      <c r="BB228" s="1" t="s">
        <v>125</v>
      </c>
      <c r="BC228" s="1" t="s">
        <v>166</v>
      </c>
      <c r="BD228" s="1">
        <v>0</v>
      </c>
      <c r="BE228" s="1">
        <v>100</v>
      </c>
      <c r="BF228" s="1" t="s">
        <v>167</v>
      </c>
      <c r="BG228" s="1" t="s">
        <v>116</v>
      </c>
      <c r="BH228" s="1" t="s">
        <v>168</v>
      </c>
      <c r="BI228" s="1" t="s">
        <v>168</v>
      </c>
      <c r="BJ228" s="1" t="s">
        <v>128</v>
      </c>
      <c r="BK228" s="1">
        <v>0</v>
      </c>
      <c r="BL228" s="1" t="s">
        <v>127</v>
      </c>
      <c r="BM228" s="1" t="s">
        <v>114</v>
      </c>
      <c r="BN228" s="1" t="s">
        <v>143</v>
      </c>
      <c r="BO228" s="1">
        <v>0</v>
      </c>
      <c r="BP228" s="1" t="s">
        <v>115</v>
      </c>
      <c r="BQ228" s="1" t="s">
        <v>2821</v>
      </c>
      <c r="BR228" s="1" t="s">
        <v>3000</v>
      </c>
      <c r="BS228" s="1" t="s">
        <v>3001</v>
      </c>
      <c r="BT228" s="1" t="s">
        <v>172</v>
      </c>
      <c r="BU228" s="1" t="s">
        <v>132</v>
      </c>
      <c r="BV228" s="1" t="s">
        <v>3002</v>
      </c>
      <c r="BW228" s="1" t="s">
        <v>298</v>
      </c>
      <c r="BX228" s="1" t="s">
        <v>325</v>
      </c>
      <c r="BY228" s="1" t="s">
        <v>241</v>
      </c>
      <c r="BZ228" s="1" t="s">
        <v>157</v>
      </c>
      <c r="CA228" s="1">
        <v>443</v>
      </c>
      <c r="CB228" s="1" t="s">
        <v>244</v>
      </c>
      <c r="CC228" s="1" t="s">
        <v>177</v>
      </c>
      <c r="CD228" s="1" t="s">
        <v>3003</v>
      </c>
      <c r="CE228" s="1" t="s">
        <v>179</v>
      </c>
      <c r="CF228" s="1">
        <v>29598</v>
      </c>
      <c r="CG228" s="1">
        <v>635852.49</v>
      </c>
      <c r="CH228" s="1">
        <v>191.87</v>
      </c>
      <c r="CI228" s="1">
        <v>0</v>
      </c>
      <c r="CJ228" s="1">
        <v>154.06</v>
      </c>
      <c r="CK228" s="1">
        <v>0</v>
      </c>
      <c r="CL228" s="1">
        <v>0</v>
      </c>
      <c r="CM228" s="1">
        <v>0</v>
      </c>
      <c r="CN228" s="1">
        <v>125</v>
      </c>
      <c r="CO228" s="1">
        <v>0</v>
      </c>
      <c r="CP228" s="1">
        <v>56</v>
      </c>
      <c r="CQ228" s="1">
        <v>0</v>
      </c>
      <c r="CS228" s="1" t="s">
        <v>140</v>
      </c>
      <c r="CT228" s="1" t="s">
        <v>709</v>
      </c>
      <c r="CW228" s="1" t="s">
        <v>141</v>
      </c>
      <c r="CX228" s="1" t="s">
        <v>3004</v>
      </c>
      <c r="CY228" s="1" t="s">
        <v>3005</v>
      </c>
      <c r="CZ228" s="1" t="s">
        <v>144</v>
      </c>
      <c r="DA228" s="1" t="s">
        <v>145</v>
      </c>
    </row>
    <row r="229" spans="1:105" s="3" customFormat="1" ht="11.25" customHeight="1" x14ac:dyDescent="0.2">
      <c r="A229" s="1">
        <v>41</v>
      </c>
      <c r="B229" s="1" t="s">
        <v>3007</v>
      </c>
      <c r="C229" s="1" t="s">
        <v>3006</v>
      </c>
      <c r="D229" s="1">
        <v>1327</v>
      </c>
      <c r="E229" s="2" t="s">
        <v>4201</v>
      </c>
      <c r="F229" s="1" t="s">
        <v>106</v>
      </c>
      <c r="G229" s="1" t="s">
        <v>254</v>
      </c>
      <c r="H229" s="1" t="s">
        <v>255</v>
      </c>
      <c r="I229" s="1" t="s">
        <v>3008</v>
      </c>
      <c r="J229" s="1" t="s">
        <v>106</v>
      </c>
      <c r="L229" s="1" t="s">
        <v>111</v>
      </c>
      <c r="M229" s="1" t="s">
        <v>257</v>
      </c>
      <c r="N229" s="1" t="s">
        <v>3009</v>
      </c>
      <c r="O229" s="1" t="s">
        <v>113</v>
      </c>
      <c r="P229" s="1" t="s">
        <v>113</v>
      </c>
      <c r="Q229" s="1" t="s">
        <v>152</v>
      </c>
      <c r="R229" s="1" t="s">
        <v>114</v>
      </c>
      <c r="S229" s="1" t="s">
        <v>753</v>
      </c>
      <c r="T229" s="1" t="s">
        <v>113</v>
      </c>
      <c r="U229" s="1" t="s">
        <v>114</v>
      </c>
      <c r="V229" s="1" t="s">
        <v>3010</v>
      </c>
      <c r="W229" s="1" t="s">
        <v>115</v>
      </c>
      <c r="X229" s="1" t="s">
        <v>113</v>
      </c>
      <c r="Y229" s="1" t="s">
        <v>564</v>
      </c>
      <c r="Z229" s="1">
        <v>100</v>
      </c>
      <c r="AA229" s="1" t="s">
        <v>116</v>
      </c>
      <c r="AB229" s="1" t="s">
        <v>128</v>
      </c>
      <c r="AC229" s="1" t="s">
        <v>118</v>
      </c>
      <c r="AD229" s="1">
        <v>100</v>
      </c>
      <c r="AE229" s="1" t="s">
        <v>116</v>
      </c>
      <c r="AF229" s="1">
        <v>12129</v>
      </c>
      <c r="AG229" s="1" t="s">
        <v>113</v>
      </c>
      <c r="AH229" s="1">
        <v>0</v>
      </c>
      <c r="AI229" s="1">
        <v>0</v>
      </c>
      <c r="AJ229" s="1">
        <v>0</v>
      </c>
      <c r="AK229" s="1" t="s">
        <v>1515</v>
      </c>
      <c r="AL229" s="1">
        <v>0</v>
      </c>
      <c r="AM229" s="1" t="s">
        <v>363</v>
      </c>
      <c r="AN229" s="1">
        <v>0</v>
      </c>
      <c r="AO229" s="1" t="s">
        <v>113</v>
      </c>
      <c r="AP229" s="1" t="s">
        <v>113</v>
      </c>
      <c r="AQ229" s="1" t="s">
        <v>114</v>
      </c>
      <c r="AR229" s="1" t="s">
        <v>114</v>
      </c>
      <c r="AS229" s="1" t="s">
        <v>114</v>
      </c>
      <c r="AT229" s="1" t="s">
        <v>123</v>
      </c>
      <c r="AU229" s="1" t="s">
        <v>113</v>
      </c>
      <c r="AV229" s="1" t="s">
        <v>113</v>
      </c>
      <c r="AW229" s="1" t="s">
        <v>164</v>
      </c>
      <c r="AX229" s="1" t="s">
        <v>165</v>
      </c>
      <c r="AY229" s="1">
        <v>0</v>
      </c>
      <c r="AZ229" s="1" t="s">
        <v>113</v>
      </c>
      <c r="BA229" s="1" t="s">
        <v>113</v>
      </c>
      <c r="BB229" s="1" t="s">
        <v>125</v>
      </c>
      <c r="BC229" s="1" t="s">
        <v>166</v>
      </c>
      <c r="BD229" s="1">
        <v>0</v>
      </c>
      <c r="BE229" s="1">
        <v>100</v>
      </c>
      <c r="BF229" s="1" t="s">
        <v>167</v>
      </c>
      <c r="BG229" s="1" t="s">
        <v>268</v>
      </c>
      <c r="BH229" s="1" t="s">
        <v>269</v>
      </c>
      <c r="BI229" s="1" t="s">
        <v>269</v>
      </c>
      <c r="BJ229" s="1" t="s">
        <v>208</v>
      </c>
      <c r="BK229" s="1">
        <v>40</v>
      </c>
      <c r="BL229" s="1" t="s">
        <v>209</v>
      </c>
      <c r="BM229" s="1" t="s">
        <v>271</v>
      </c>
      <c r="BN229" s="1" t="s">
        <v>143</v>
      </c>
      <c r="BP229" s="1" t="s">
        <v>115</v>
      </c>
      <c r="BQ229" s="1" t="s">
        <v>255</v>
      </c>
      <c r="BR229" s="1" t="s">
        <v>3011</v>
      </c>
      <c r="BS229" s="1" t="s">
        <v>3012</v>
      </c>
      <c r="BT229" s="1" t="s">
        <v>172</v>
      </c>
      <c r="BU229" s="1" t="s">
        <v>632</v>
      </c>
      <c r="BV229" s="1" t="s">
        <v>3013</v>
      </c>
      <c r="BW229" s="1" t="s">
        <v>134</v>
      </c>
      <c r="BX229" s="1" t="s">
        <v>135</v>
      </c>
      <c r="BY229" s="1" t="s">
        <v>135</v>
      </c>
      <c r="BZ229" s="1" t="s">
        <v>3014</v>
      </c>
      <c r="CA229" s="1">
        <v>12129</v>
      </c>
      <c r="CB229" s="1" t="s">
        <v>244</v>
      </c>
      <c r="CC229" s="1" t="s">
        <v>177</v>
      </c>
      <c r="CD229" s="1" t="s">
        <v>3015</v>
      </c>
      <c r="CE229" s="1" t="s">
        <v>219</v>
      </c>
      <c r="CF229" s="1">
        <v>810476</v>
      </c>
      <c r="CG229" s="1" t="s">
        <v>3016</v>
      </c>
      <c r="CH229" s="1" t="s">
        <v>3017</v>
      </c>
      <c r="CI229" s="1" t="s">
        <v>3017</v>
      </c>
      <c r="CJ229" s="1">
        <v>175.66</v>
      </c>
      <c r="CK229" s="1" t="s">
        <v>3017</v>
      </c>
      <c r="CL229" s="1">
        <v>0</v>
      </c>
      <c r="CM229" s="1">
        <v>0</v>
      </c>
      <c r="CN229" s="1">
        <v>0</v>
      </c>
      <c r="CO229" s="1">
        <v>0</v>
      </c>
      <c r="CP229" s="1">
        <v>0</v>
      </c>
      <c r="CQ229" s="1">
        <v>0</v>
      </c>
      <c r="CS229" s="1" t="s">
        <v>327</v>
      </c>
      <c r="CT229" s="1" t="s">
        <v>3018</v>
      </c>
      <c r="CW229" s="1" t="s">
        <v>251</v>
      </c>
      <c r="CX229" s="1" t="s">
        <v>3019</v>
      </c>
      <c r="CY229" s="1" t="s">
        <v>976</v>
      </c>
      <c r="CZ229" s="1" t="s">
        <v>144</v>
      </c>
      <c r="DA229" s="1" t="s">
        <v>145</v>
      </c>
    </row>
    <row r="230" spans="1:105" s="3" customFormat="1" ht="11.25" customHeight="1" x14ac:dyDescent="0.2">
      <c r="A230" s="1">
        <v>41</v>
      </c>
      <c r="B230" s="1" t="s">
        <v>3020</v>
      </c>
      <c r="C230" s="1" t="s">
        <v>3021</v>
      </c>
      <c r="D230" s="1">
        <v>11438</v>
      </c>
      <c r="E230" s="2" t="s">
        <v>1688</v>
      </c>
      <c r="F230" s="1"/>
      <c r="G230" s="1"/>
      <c r="H230" s="1"/>
      <c r="I230" s="1"/>
      <c r="J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row>
    <row r="231" spans="1:105" s="3" customFormat="1" ht="11.25" customHeight="1" x14ac:dyDescent="0.2">
      <c r="A231" s="1">
        <v>41</v>
      </c>
      <c r="B231" s="1" t="s">
        <v>3022</v>
      </c>
      <c r="C231" s="1" t="s">
        <v>3023</v>
      </c>
      <c r="D231" s="1">
        <v>11639</v>
      </c>
      <c r="E231" s="2" t="s">
        <v>1688</v>
      </c>
      <c r="F231" s="1"/>
      <c r="G231" s="1"/>
      <c r="H231" s="1"/>
      <c r="I231" s="1"/>
      <c r="J231" s="1"/>
      <c r="K231" s="1"/>
      <c r="L231" s="1"/>
      <c r="M231" s="1"/>
      <c r="N231" s="1"/>
      <c r="O231" s="1"/>
      <c r="P231" s="1"/>
      <c r="Q231" s="1"/>
      <c r="R231" s="1"/>
      <c r="S231" s="1"/>
      <c r="T231" s="1"/>
      <c r="U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row>
    <row r="232" spans="1:105" s="3" customFormat="1" ht="11.25" customHeight="1" x14ac:dyDescent="0.2">
      <c r="A232" s="1">
        <v>41</v>
      </c>
      <c r="B232" s="1" t="s">
        <v>3024</v>
      </c>
      <c r="C232" s="1" t="s">
        <v>372</v>
      </c>
      <c r="D232" s="1">
        <v>14219</v>
      </c>
      <c r="E232" s="2" t="s">
        <v>4201</v>
      </c>
      <c r="F232" s="1" t="s">
        <v>113</v>
      </c>
      <c r="G232" s="1" t="s">
        <v>190</v>
      </c>
      <c r="H232" s="1" t="s">
        <v>3025</v>
      </c>
      <c r="I232" s="1" t="s">
        <v>229</v>
      </c>
      <c r="J232" s="1" t="s">
        <v>229</v>
      </c>
      <c r="L232" s="1" t="s">
        <v>111</v>
      </c>
      <c r="M232" s="1" t="s">
        <v>111</v>
      </c>
      <c r="N232" s="1" t="s">
        <v>3026</v>
      </c>
      <c r="O232" s="1" t="s">
        <v>106</v>
      </c>
      <c r="P232" s="1" t="s">
        <v>113</v>
      </c>
      <c r="Q232" s="1" t="s">
        <v>3027</v>
      </c>
      <c r="R232" s="1" t="s">
        <v>3028</v>
      </c>
      <c r="S232" s="1" t="s">
        <v>114</v>
      </c>
      <c r="T232" s="1" t="s">
        <v>106</v>
      </c>
      <c r="U232" s="1" t="s">
        <v>3029</v>
      </c>
      <c r="V232" s="1" t="s">
        <v>3030</v>
      </c>
      <c r="W232" s="1" t="s">
        <v>115</v>
      </c>
      <c r="X232" s="1" t="s">
        <v>113</v>
      </c>
      <c r="Y232" s="1" t="s">
        <v>114</v>
      </c>
      <c r="Z232" s="1">
        <v>100</v>
      </c>
      <c r="AA232" s="1" t="s">
        <v>116</v>
      </c>
      <c r="AB232" s="1" t="s">
        <v>128</v>
      </c>
      <c r="AC232" s="1" t="s">
        <v>118</v>
      </c>
      <c r="AD232" s="1">
        <v>80</v>
      </c>
      <c r="AE232" s="1" t="s">
        <v>116</v>
      </c>
      <c r="AF232" s="1">
        <v>2640</v>
      </c>
      <c r="AG232" s="1" t="s">
        <v>113</v>
      </c>
      <c r="AH232" s="1">
        <v>0</v>
      </c>
      <c r="AI232" s="1">
        <v>40</v>
      </c>
      <c r="AJ232" s="1">
        <v>25</v>
      </c>
      <c r="AK232" s="1" t="s">
        <v>530</v>
      </c>
      <c r="AL232" s="1">
        <v>792</v>
      </c>
      <c r="AM232" s="1" t="s">
        <v>120</v>
      </c>
      <c r="AN232" s="1">
        <v>237</v>
      </c>
      <c r="AO232" s="1" t="s">
        <v>113</v>
      </c>
      <c r="AP232" s="1" t="s">
        <v>106</v>
      </c>
      <c r="AQ232" s="1" t="s">
        <v>3031</v>
      </c>
      <c r="AR232" s="1" t="s">
        <v>3032</v>
      </c>
      <c r="AS232" s="1" t="s">
        <v>3033</v>
      </c>
      <c r="AT232" s="1" t="s">
        <v>1322</v>
      </c>
      <c r="AU232" s="1" t="s">
        <v>106</v>
      </c>
      <c r="AV232" s="1" t="s">
        <v>106</v>
      </c>
      <c r="AW232" s="1" t="s">
        <v>3034</v>
      </c>
      <c r="AX232" s="1" t="s">
        <v>1821</v>
      </c>
      <c r="AY232" s="1">
        <v>1200</v>
      </c>
      <c r="AZ232" s="1" t="s">
        <v>106</v>
      </c>
      <c r="BA232" s="1" t="s">
        <v>113</v>
      </c>
      <c r="BB232" s="1" t="s">
        <v>125</v>
      </c>
      <c r="BC232" s="1" t="s">
        <v>1899</v>
      </c>
      <c r="BD232" s="1">
        <v>960</v>
      </c>
      <c r="BE232" s="1">
        <v>100</v>
      </c>
      <c r="BF232" s="1" t="s">
        <v>630</v>
      </c>
      <c r="BG232" s="1" t="s">
        <v>116</v>
      </c>
      <c r="BH232" s="1" t="s">
        <v>168</v>
      </c>
      <c r="BI232" s="1" t="s">
        <v>168</v>
      </c>
      <c r="BJ232" s="1" t="s">
        <v>208</v>
      </c>
      <c r="BK232" s="1">
        <v>80</v>
      </c>
      <c r="BL232" s="1" t="s">
        <v>270</v>
      </c>
      <c r="BM232" s="1" t="s">
        <v>210</v>
      </c>
      <c r="BN232" s="1">
        <v>11</v>
      </c>
      <c r="BO232" s="1">
        <v>1</v>
      </c>
      <c r="BP232" s="1" t="s">
        <v>124</v>
      </c>
      <c r="BQ232" s="1" t="s">
        <v>372</v>
      </c>
      <c r="BR232" s="1" t="s">
        <v>3035</v>
      </c>
      <c r="BS232" s="1" t="s">
        <v>3036</v>
      </c>
      <c r="BT232" s="1" t="s">
        <v>172</v>
      </c>
      <c r="BU232" s="1" t="s">
        <v>239</v>
      </c>
      <c r="BV232" s="1" t="s">
        <v>3037</v>
      </c>
      <c r="BW232" s="1" t="s">
        <v>134</v>
      </c>
      <c r="BX232" s="1" t="s">
        <v>3038</v>
      </c>
      <c r="BY232" s="1" t="s">
        <v>299</v>
      </c>
      <c r="BZ232" s="1" t="s">
        <v>157</v>
      </c>
      <c r="CA232" s="1">
        <v>1860</v>
      </c>
      <c r="CB232" s="1" t="s">
        <v>244</v>
      </c>
      <c r="CC232" s="1" t="s">
        <v>1488</v>
      </c>
      <c r="CE232" s="1" t="s">
        <v>1194</v>
      </c>
      <c r="CF232" s="6">
        <v>389695.98</v>
      </c>
      <c r="CG232" s="6">
        <v>2325941.13</v>
      </c>
      <c r="CH232" s="6">
        <v>444586.66</v>
      </c>
      <c r="CI232" s="5" t="s">
        <v>220</v>
      </c>
      <c r="CJ232" s="1">
        <v>350</v>
      </c>
      <c r="CK232" s="1">
        <v>340</v>
      </c>
      <c r="CL232" s="1">
        <v>700</v>
      </c>
      <c r="CM232" s="1">
        <v>350</v>
      </c>
      <c r="CN232" s="1">
        <v>961790</v>
      </c>
      <c r="CO232" s="1">
        <v>10000</v>
      </c>
      <c r="CP232" s="1">
        <v>25000</v>
      </c>
      <c r="CQ232" s="1">
        <v>150</v>
      </c>
      <c r="CR232" s="1" t="s">
        <v>139</v>
      </c>
      <c r="CS232" s="1" t="s">
        <v>140</v>
      </c>
      <c r="CT232" s="1" t="s">
        <v>3039</v>
      </c>
      <c r="CU232" s="1" t="s">
        <v>617</v>
      </c>
      <c r="CV232" s="1" t="s">
        <v>1119</v>
      </c>
      <c r="CW232" s="1" t="s">
        <v>251</v>
      </c>
      <c r="CX232" s="1" t="s">
        <v>127</v>
      </c>
      <c r="CY232" s="1" t="s">
        <v>276</v>
      </c>
      <c r="CZ232" s="1" t="s">
        <v>144</v>
      </c>
      <c r="DA232" s="1" t="s">
        <v>145</v>
      </c>
    </row>
    <row r="233" spans="1:105" s="3" customFormat="1" ht="11.25" customHeight="1" x14ac:dyDescent="0.2">
      <c r="A233" s="1">
        <v>41</v>
      </c>
      <c r="B233" s="1" t="s">
        <v>3041</v>
      </c>
      <c r="C233" s="1" t="s">
        <v>3040</v>
      </c>
      <c r="D233" s="1">
        <v>6799</v>
      </c>
      <c r="E233" s="2" t="s">
        <v>4201</v>
      </c>
      <c r="F233" s="1" t="s">
        <v>113</v>
      </c>
      <c r="G233" s="1" t="s">
        <v>190</v>
      </c>
      <c r="H233" s="1" t="s">
        <v>589</v>
      </c>
      <c r="I233" s="1" t="s">
        <v>193</v>
      </c>
      <c r="J233" s="1" t="s">
        <v>113</v>
      </c>
      <c r="K233" s="1" t="s">
        <v>589</v>
      </c>
      <c r="L233" s="1" t="s">
        <v>111</v>
      </c>
      <c r="M233" s="1" t="s">
        <v>157</v>
      </c>
      <c r="N233" s="1" t="s">
        <v>112</v>
      </c>
      <c r="O233" s="1" t="s">
        <v>106</v>
      </c>
      <c r="P233" s="1" t="s">
        <v>113</v>
      </c>
      <c r="Q233" s="1" t="s">
        <v>195</v>
      </c>
      <c r="R233" s="1" t="s">
        <v>3042</v>
      </c>
      <c r="S233" s="1" t="s">
        <v>157</v>
      </c>
      <c r="T233" s="1" t="s">
        <v>113</v>
      </c>
      <c r="U233" s="1" t="s">
        <v>157</v>
      </c>
      <c r="V233" s="1" t="s">
        <v>157</v>
      </c>
      <c r="W233" s="1" t="s">
        <v>199</v>
      </c>
      <c r="X233" s="1" t="s">
        <v>113</v>
      </c>
      <c r="Y233" s="1" t="s">
        <v>157</v>
      </c>
      <c r="Z233" s="1">
        <v>100</v>
      </c>
      <c r="AA233" s="1" t="s">
        <v>116</v>
      </c>
      <c r="AB233" s="1" t="s">
        <v>128</v>
      </c>
      <c r="AC233" s="1" t="s">
        <v>128</v>
      </c>
      <c r="AD233" s="1">
        <v>0</v>
      </c>
      <c r="AE233" s="1" t="s">
        <v>157</v>
      </c>
      <c r="AF233" s="1">
        <v>720</v>
      </c>
      <c r="AG233" s="1" t="s">
        <v>113</v>
      </c>
      <c r="AH233" s="1">
        <v>0</v>
      </c>
      <c r="AI233" s="1">
        <v>0</v>
      </c>
      <c r="AJ233" s="1">
        <v>0</v>
      </c>
      <c r="AK233" s="1" t="s">
        <v>1235</v>
      </c>
      <c r="AL233" s="1">
        <v>1</v>
      </c>
      <c r="AM233" s="1" t="s">
        <v>120</v>
      </c>
      <c r="AN233" s="1">
        <v>1</v>
      </c>
      <c r="AO233" s="1" t="s">
        <v>113</v>
      </c>
      <c r="AP233" s="1" t="s">
        <v>106</v>
      </c>
      <c r="AQ233" s="1" t="s">
        <v>3043</v>
      </c>
      <c r="AR233" s="1" t="s">
        <v>3044</v>
      </c>
      <c r="AS233" s="1" t="s">
        <v>3045</v>
      </c>
      <c r="AT233" s="1" t="s">
        <v>123</v>
      </c>
      <c r="AU233" s="1" t="s">
        <v>106</v>
      </c>
      <c r="AV233" s="1" t="s">
        <v>113</v>
      </c>
      <c r="AW233" s="1" t="s">
        <v>164</v>
      </c>
      <c r="AX233" s="1" t="s">
        <v>165</v>
      </c>
      <c r="AY233" s="1">
        <v>1</v>
      </c>
      <c r="AZ233" s="1" t="s">
        <v>113</v>
      </c>
      <c r="BA233" s="1" t="s">
        <v>113</v>
      </c>
      <c r="BB233" s="1" t="s">
        <v>125</v>
      </c>
      <c r="BC233" s="1" t="s">
        <v>166</v>
      </c>
      <c r="BD233" s="1">
        <v>0</v>
      </c>
      <c r="BE233" s="1">
        <v>100</v>
      </c>
      <c r="BF233" s="1" t="s">
        <v>167</v>
      </c>
      <c r="BG233" s="1" t="s">
        <v>116</v>
      </c>
      <c r="BH233" s="1" t="s">
        <v>168</v>
      </c>
      <c r="BI233" s="1" t="s">
        <v>207</v>
      </c>
      <c r="BJ233" s="1" t="s">
        <v>128</v>
      </c>
      <c r="BK233" s="1">
        <v>0</v>
      </c>
      <c r="BL233" s="1" t="s">
        <v>127</v>
      </c>
      <c r="BM233" s="1" t="s">
        <v>114</v>
      </c>
      <c r="BN233" s="1">
        <v>1</v>
      </c>
      <c r="BO233" s="1">
        <v>1</v>
      </c>
      <c r="BP233" s="1" t="s">
        <v>115</v>
      </c>
      <c r="BQ233" s="1" t="s">
        <v>3046</v>
      </c>
      <c r="BR233" s="1" t="s">
        <v>3047</v>
      </c>
      <c r="BS233" s="1" t="s">
        <v>3048</v>
      </c>
      <c r="BT233" s="1" t="s">
        <v>172</v>
      </c>
      <c r="BU233" s="1" t="s">
        <v>132</v>
      </c>
      <c r="BV233" s="1" t="s">
        <v>275</v>
      </c>
      <c r="BW233" s="1" t="s">
        <v>134</v>
      </c>
      <c r="BX233" s="1" t="s">
        <v>157</v>
      </c>
      <c r="BY233" s="1" t="s">
        <v>135</v>
      </c>
      <c r="BZ233" s="1">
        <v>1</v>
      </c>
      <c r="CA233" s="1">
        <v>720</v>
      </c>
      <c r="CB233" s="1" t="s">
        <v>244</v>
      </c>
      <c r="CC233" s="1" t="s">
        <v>217</v>
      </c>
      <c r="CD233" s="1" t="s">
        <v>3049</v>
      </c>
      <c r="CE233" s="1" t="s">
        <v>179</v>
      </c>
      <c r="CF233" s="1">
        <v>50000</v>
      </c>
      <c r="CG233" s="1">
        <v>500000</v>
      </c>
      <c r="CH233" s="1">
        <v>1</v>
      </c>
      <c r="CI233" s="1">
        <v>150</v>
      </c>
      <c r="CJ233" s="1">
        <v>350</v>
      </c>
      <c r="CK233" s="1">
        <v>150</v>
      </c>
      <c r="CL233" s="1">
        <v>150</v>
      </c>
      <c r="CM233" s="1">
        <v>350</v>
      </c>
      <c r="CN233" s="1">
        <v>150</v>
      </c>
      <c r="CO233" s="1">
        <v>150</v>
      </c>
      <c r="CP233" s="1">
        <v>350</v>
      </c>
      <c r="CQ233" s="1">
        <v>0</v>
      </c>
      <c r="CR233" s="1" t="s">
        <v>139</v>
      </c>
      <c r="CS233" s="1" t="s">
        <v>140</v>
      </c>
      <c r="CT233" s="1" t="s">
        <v>3050</v>
      </c>
      <c r="CV233" s="1" t="s">
        <v>3051</v>
      </c>
      <c r="CW233" s="1" t="s">
        <v>3052</v>
      </c>
      <c r="CX233" s="1" t="s">
        <v>3053</v>
      </c>
      <c r="CY233" s="1" t="s">
        <v>1892</v>
      </c>
      <c r="CZ233" s="1" t="s">
        <v>144</v>
      </c>
      <c r="DA233" s="1" t="s">
        <v>145</v>
      </c>
    </row>
    <row r="234" spans="1:105" s="3" customFormat="1" ht="11.25" customHeight="1" x14ac:dyDescent="0.2">
      <c r="A234" s="1">
        <v>41</v>
      </c>
      <c r="B234" s="1" t="s">
        <v>3055</v>
      </c>
      <c r="C234" s="1" t="s">
        <v>3054</v>
      </c>
      <c r="D234" s="1">
        <v>27142</v>
      </c>
      <c r="E234" s="2" t="s">
        <v>4201</v>
      </c>
      <c r="F234" s="1" t="s">
        <v>113</v>
      </c>
      <c r="G234" s="1" t="s">
        <v>190</v>
      </c>
      <c r="H234" s="1">
        <v>0</v>
      </c>
      <c r="I234" s="1" t="s">
        <v>229</v>
      </c>
      <c r="J234" s="1" t="s">
        <v>229</v>
      </c>
      <c r="K234" s="1">
        <v>0</v>
      </c>
      <c r="L234" s="1" t="s">
        <v>111</v>
      </c>
      <c r="M234" s="1" t="s">
        <v>257</v>
      </c>
      <c r="N234" s="1" t="s">
        <v>112</v>
      </c>
      <c r="O234" s="1" t="s">
        <v>106</v>
      </c>
      <c r="P234" s="1" t="s">
        <v>113</v>
      </c>
      <c r="Q234" s="1" t="s">
        <v>195</v>
      </c>
      <c r="R234" s="1" t="s">
        <v>3056</v>
      </c>
      <c r="S234" s="1" t="s">
        <v>114</v>
      </c>
      <c r="T234" s="1" t="s">
        <v>113</v>
      </c>
      <c r="U234" s="1" t="s">
        <v>564</v>
      </c>
      <c r="V234" s="1" t="s">
        <v>3057</v>
      </c>
      <c r="W234" s="1" t="s">
        <v>115</v>
      </c>
      <c r="X234" s="1" t="s">
        <v>113</v>
      </c>
      <c r="Y234" s="1" t="s">
        <v>114</v>
      </c>
      <c r="Z234" s="1">
        <v>100</v>
      </c>
      <c r="AA234" s="1" t="s">
        <v>116</v>
      </c>
      <c r="AB234" s="1" t="s">
        <v>128</v>
      </c>
      <c r="AC234" s="1" t="s">
        <v>128</v>
      </c>
      <c r="AD234" s="1">
        <v>0</v>
      </c>
      <c r="AE234" s="1" t="s">
        <v>3058</v>
      </c>
      <c r="AF234" s="1">
        <v>4320</v>
      </c>
      <c r="AG234" s="1" t="s">
        <v>113</v>
      </c>
      <c r="AH234" s="1">
        <v>0</v>
      </c>
      <c r="AI234" s="1">
        <v>0</v>
      </c>
      <c r="AJ234" s="1">
        <v>0</v>
      </c>
      <c r="AK234" s="1" t="s">
        <v>530</v>
      </c>
      <c r="AL234" s="1">
        <v>360</v>
      </c>
      <c r="AM234" s="1" t="s">
        <v>3059</v>
      </c>
      <c r="AN234" s="1">
        <v>360</v>
      </c>
      <c r="AO234" s="1" t="s">
        <v>113</v>
      </c>
      <c r="AP234" s="1" t="s">
        <v>106</v>
      </c>
      <c r="AQ234" s="1" t="s">
        <v>3060</v>
      </c>
      <c r="AR234" s="1" t="s">
        <v>3061</v>
      </c>
      <c r="AS234" s="1" t="s">
        <v>3062</v>
      </c>
      <c r="AT234" s="1" t="s">
        <v>204</v>
      </c>
      <c r="AU234" s="1" t="s">
        <v>106</v>
      </c>
      <c r="AV234" s="1" t="s">
        <v>106</v>
      </c>
      <c r="AW234" s="1" t="s">
        <v>234</v>
      </c>
      <c r="AX234" s="1" t="s">
        <v>550</v>
      </c>
      <c r="AY234" s="4">
        <v>5500</v>
      </c>
      <c r="AZ234" s="1" t="s">
        <v>113</v>
      </c>
      <c r="BA234" s="1" t="s">
        <v>113</v>
      </c>
      <c r="BB234" s="1" t="s">
        <v>125</v>
      </c>
      <c r="BC234" s="1" t="s">
        <v>166</v>
      </c>
      <c r="BD234" s="1">
        <v>0</v>
      </c>
      <c r="BE234" s="1">
        <v>0</v>
      </c>
      <c r="BF234" s="1" t="s">
        <v>127</v>
      </c>
      <c r="BG234" s="1" t="s">
        <v>127</v>
      </c>
      <c r="BI234" s="1" t="s">
        <v>269</v>
      </c>
      <c r="BJ234" s="1" t="s">
        <v>128</v>
      </c>
      <c r="BK234" s="1">
        <v>0</v>
      </c>
      <c r="BL234" s="1" t="s">
        <v>127</v>
      </c>
      <c r="BM234" s="1" t="s">
        <v>114</v>
      </c>
      <c r="BN234" s="1">
        <v>0</v>
      </c>
      <c r="BO234" s="1">
        <v>0</v>
      </c>
      <c r="BP234" s="1" t="s">
        <v>115</v>
      </c>
      <c r="BQ234" s="1" t="s">
        <v>3063</v>
      </c>
      <c r="BR234" s="1" t="s">
        <v>3064</v>
      </c>
      <c r="BS234" s="1" t="s">
        <v>3065</v>
      </c>
      <c r="BT234" s="1" t="s">
        <v>172</v>
      </c>
      <c r="BU234" s="1" t="s">
        <v>132</v>
      </c>
      <c r="BV234" s="1" t="s">
        <v>3066</v>
      </c>
      <c r="BW234" s="1" t="s">
        <v>134</v>
      </c>
      <c r="BX234" s="1" t="s">
        <v>1669</v>
      </c>
      <c r="BY234" s="1" t="s">
        <v>299</v>
      </c>
      <c r="BZ234" s="1" t="s">
        <v>3067</v>
      </c>
      <c r="CA234" s="4">
        <v>5238</v>
      </c>
      <c r="CB234" s="1" t="s">
        <v>176</v>
      </c>
      <c r="CC234" s="1" t="s">
        <v>301</v>
      </c>
      <c r="CD234" s="1" t="s">
        <v>3068</v>
      </c>
      <c r="CE234" s="1" t="s">
        <v>219</v>
      </c>
      <c r="CF234" s="1">
        <v>280413643</v>
      </c>
      <c r="CG234" s="1">
        <v>163016104</v>
      </c>
      <c r="CH234" s="1">
        <v>0</v>
      </c>
      <c r="CI234" s="1">
        <v>0</v>
      </c>
      <c r="CJ234" s="1">
        <v>0</v>
      </c>
      <c r="CK234" s="1">
        <v>0</v>
      </c>
      <c r="CL234" s="1">
        <v>0</v>
      </c>
      <c r="CM234" s="1">
        <v>0</v>
      </c>
      <c r="CN234" s="1">
        <v>0</v>
      </c>
      <c r="CO234" s="1">
        <v>0</v>
      </c>
      <c r="CP234" s="1">
        <v>0</v>
      </c>
      <c r="CQ234" s="1">
        <v>0</v>
      </c>
      <c r="CR234" s="1" t="s">
        <v>139</v>
      </c>
      <c r="CS234" s="1" t="s">
        <v>140</v>
      </c>
      <c r="CT234" s="1" t="s">
        <v>3069</v>
      </c>
      <c r="CV234" s="1" t="s">
        <v>500</v>
      </c>
      <c r="CW234" s="1" t="s">
        <v>141</v>
      </c>
      <c r="CX234" s="1" t="s">
        <v>114</v>
      </c>
      <c r="CY234" s="1" t="s">
        <v>114</v>
      </c>
      <c r="CZ234" s="1" t="s">
        <v>144</v>
      </c>
      <c r="DA234" s="1" t="s">
        <v>145</v>
      </c>
    </row>
    <row r="235" spans="1:105" s="3" customFormat="1" ht="11.25" customHeight="1" x14ac:dyDescent="0.2">
      <c r="A235" s="1">
        <v>41</v>
      </c>
      <c r="B235" s="1" t="s">
        <v>3071</v>
      </c>
      <c r="C235" s="1" t="s">
        <v>3070</v>
      </c>
      <c r="D235" s="1">
        <v>7201</v>
      </c>
      <c r="E235" s="2" t="s">
        <v>4201</v>
      </c>
      <c r="F235" s="1" t="s">
        <v>106</v>
      </c>
      <c r="G235" s="1" t="s">
        <v>398</v>
      </c>
      <c r="H235" s="1" t="s">
        <v>359</v>
      </c>
      <c r="I235" s="1" t="s">
        <v>605</v>
      </c>
      <c r="J235" s="1" t="s">
        <v>113</v>
      </c>
      <c r="L235" s="1" t="s">
        <v>111</v>
      </c>
      <c r="M235" s="1" t="s">
        <v>111</v>
      </c>
      <c r="N235" s="1" t="s">
        <v>2670</v>
      </c>
      <c r="O235" s="1" t="s">
        <v>113</v>
      </c>
      <c r="P235" s="1" t="s">
        <v>113</v>
      </c>
      <c r="Q235" s="1" t="s">
        <v>111</v>
      </c>
      <c r="R235" s="1" t="s">
        <v>114</v>
      </c>
      <c r="S235" s="1" t="s">
        <v>430</v>
      </c>
      <c r="T235" s="1" t="s">
        <v>113</v>
      </c>
      <c r="U235" s="1" t="s">
        <v>724</v>
      </c>
      <c r="V235" s="1" t="s">
        <v>3072</v>
      </c>
      <c r="W235" s="1" t="s">
        <v>115</v>
      </c>
      <c r="X235" s="1" t="s">
        <v>113</v>
      </c>
      <c r="Y235" s="1" t="s">
        <v>157</v>
      </c>
      <c r="Z235" s="1">
        <v>100</v>
      </c>
      <c r="AA235" s="1" t="s">
        <v>132</v>
      </c>
      <c r="AB235" s="1" t="s">
        <v>128</v>
      </c>
      <c r="AC235" s="1" t="s">
        <v>118</v>
      </c>
      <c r="AD235" s="1">
        <v>15</v>
      </c>
      <c r="AE235" s="1" t="s">
        <v>132</v>
      </c>
      <c r="AF235" s="1">
        <v>1200</v>
      </c>
      <c r="AG235" s="1" t="s">
        <v>113</v>
      </c>
      <c r="AH235" s="1">
        <v>80</v>
      </c>
      <c r="AI235" s="1">
        <v>20</v>
      </c>
      <c r="AJ235" s="1">
        <v>10</v>
      </c>
      <c r="AK235" s="1" t="s">
        <v>1235</v>
      </c>
      <c r="AL235" s="1">
        <v>100</v>
      </c>
      <c r="AM235" s="1" t="s">
        <v>3073</v>
      </c>
      <c r="AN235" s="1">
        <v>0</v>
      </c>
      <c r="AO235" s="1" t="s">
        <v>113</v>
      </c>
      <c r="AP235" s="1" t="s">
        <v>113</v>
      </c>
      <c r="AQ235" s="1" t="s">
        <v>114</v>
      </c>
      <c r="AR235" s="1" t="s">
        <v>157</v>
      </c>
      <c r="AS235" s="1" t="s">
        <v>157</v>
      </c>
      <c r="AT235" s="1" t="s">
        <v>123</v>
      </c>
      <c r="AU235" s="1" t="s">
        <v>113</v>
      </c>
      <c r="AV235" s="1" t="s">
        <v>113</v>
      </c>
      <c r="AW235" s="1" t="s">
        <v>124</v>
      </c>
      <c r="AX235" s="1" t="s">
        <v>165</v>
      </c>
      <c r="AY235" s="1">
        <v>0</v>
      </c>
      <c r="AZ235" s="1" t="s">
        <v>113</v>
      </c>
      <c r="BA235" s="1" t="s">
        <v>113</v>
      </c>
      <c r="BB235" s="1" t="s">
        <v>125</v>
      </c>
      <c r="BC235" s="1" t="s">
        <v>166</v>
      </c>
      <c r="BD235" s="1">
        <v>0</v>
      </c>
      <c r="BE235" s="1">
        <v>100</v>
      </c>
      <c r="BF235" s="1" t="s">
        <v>167</v>
      </c>
      <c r="BG235" s="1" t="s">
        <v>132</v>
      </c>
      <c r="BH235" s="1" t="s">
        <v>168</v>
      </c>
      <c r="BI235" s="1" t="s">
        <v>168</v>
      </c>
      <c r="BJ235" s="1" t="s">
        <v>208</v>
      </c>
      <c r="BK235" s="1">
        <v>15</v>
      </c>
      <c r="BL235" s="1" t="s">
        <v>167</v>
      </c>
      <c r="BM235" s="1" t="s">
        <v>472</v>
      </c>
      <c r="BN235" s="1" t="s">
        <v>276</v>
      </c>
      <c r="BO235" s="1" t="s">
        <v>3074</v>
      </c>
      <c r="BP235" s="1" t="s">
        <v>115</v>
      </c>
      <c r="BQ235" s="1" t="s">
        <v>587</v>
      </c>
      <c r="BR235" s="1" t="s">
        <v>3075</v>
      </c>
      <c r="BS235" s="1" t="s">
        <v>3076</v>
      </c>
      <c r="BT235" s="1" t="s">
        <v>172</v>
      </c>
      <c r="BU235" s="1" t="s">
        <v>132</v>
      </c>
      <c r="BV235" s="1" t="s">
        <v>3077</v>
      </c>
      <c r="BW235" s="1" t="s">
        <v>134</v>
      </c>
      <c r="BX235" s="1" t="s">
        <v>902</v>
      </c>
      <c r="BY235" s="1" t="s">
        <v>454</v>
      </c>
      <c r="BZ235" s="1" t="s">
        <v>373</v>
      </c>
      <c r="CA235" s="1">
        <v>1200</v>
      </c>
      <c r="CB235" s="1" t="s">
        <v>244</v>
      </c>
      <c r="CC235" s="1" t="s">
        <v>177</v>
      </c>
      <c r="CD235" s="1" t="s">
        <v>3078</v>
      </c>
      <c r="CE235" s="1" t="s">
        <v>478</v>
      </c>
      <c r="CF235" s="1">
        <v>550000</v>
      </c>
      <c r="CG235" s="1">
        <v>500000</v>
      </c>
      <c r="CH235" s="1">
        <v>416</v>
      </c>
      <c r="CI235" s="1">
        <v>0</v>
      </c>
      <c r="CJ235" s="1">
        <v>113</v>
      </c>
      <c r="CK235" s="1">
        <v>34.93</v>
      </c>
      <c r="CL235" s="1">
        <v>0</v>
      </c>
      <c r="CM235" s="1">
        <v>113</v>
      </c>
      <c r="CN235" s="1">
        <v>0</v>
      </c>
      <c r="CO235" s="1">
        <v>0</v>
      </c>
      <c r="CP235" s="1">
        <v>0</v>
      </c>
      <c r="CQ235" s="1">
        <v>0</v>
      </c>
      <c r="CR235" s="1" t="s">
        <v>139</v>
      </c>
      <c r="CS235" s="1" t="s">
        <v>140</v>
      </c>
      <c r="CT235" s="1" t="s">
        <v>3079</v>
      </c>
      <c r="CV235" s="1" t="s">
        <v>960</v>
      </c>
      <c r="CW235" s="1" t="s">
        <v>251</v>
      </c>
      <c r="CX235" s="1" t="s">
        <v>114</v>
      </c>
      <c r="CY235" s="1" t="s">
        <v>276</v>
      </c>
      <c r="CZ235" s="1" t="s">
        <v>144</v>
      </c>
      <c r="DA235" s="1" t="s">
        <v>145</v>
      </c>
    </row>
    <row r="236" spans="1:105" s="3" customFormat="1" ht="11.25" customHeight="1" x14ac:dyDescent="0.2">
      <c r="A236" s="1">
        <v>41</v>
      </c>
      <c r="B236" s="1" t="s">
        <v>3081</v>
      </c>
      <c r="C236" s="1" t="s">
        <v>3080</v>
      </c>
      <c r="D236" s="1">
        <v>13085</v>
      </c>
      <c r="E236" s="2" t="s">
        <v>4201</v>
      </c>
      <c r="F236" s="1" t="s">
        <v>113</v>
      </c>
      <c r="G236" s="1" t="s">
        <v>2224</v>
      </c>
      <c r="H236" s="1" t="s">
        <v>3082</v>
      </c>
      <c r="I236" s="1" t="s">
        <v>3083</v>
      </c>
      <c r="J236" s="1" t="s">
        <v>113</v>
      </c>
      <c r="L236" s="1" t="s">
        <v>149</v>
      </c>
      <c r="M236" s="1" t="s">
        <v>3084</v>
      </c>
      <c r="N236" s="1" t="s">
        <v>1085</v>
      </c>
      <c r="O236" s="1" t="s">
        <v>106</v>
      </c>
      <c r="P236" s="1" t="s">
        <v>106</v>
      </c>
      <c r="Q236" s="1" t="s">
        <v>195</v>
      </c>
      <c r="R236" s="1" t="s">
        <v>3085</v>
      </c>
      <c r="S236" s="1" t="s">
        <v>127</v>
      </c>
      <c r="T236" s="1" t="s">
        <v>106</v>
      </c>
      <c r="U236" s="1" t="s">
        <v>3086</v>
      </c>
      <c r="V236" s="1" t="s">
        <v>3087</v>
      </c>
      <c r="W236" s="1" t="s">
        <v>199</v>
      </c>
      <c r="X236" s="1" t="s">
        <v>113</v>
      </c>
      <c r="Z236" s="1">
        <v>100</v>
      </c>
      <c r="AA236" s="1" t="s">
        <v>116</v>
      </c>
      <c r="AB236" s="1" t="s">
        <v>128</v>
      </c>
      <c r="AC236" s="1" t="s">
        <v>118</v>
      </c>
      <c r="AD236" s="1">
        <v>90</v>
      </c>
      <c r="AE236" s="1" t="s">
        <v>116</v>
      </c>
      <c r="AF236" s="1">
        <v>2970</v>
      </c>
      <c r="AG236" s="1" t="s">
        <v>106</v>
      </c>
      <c r="AH236" s="1">
        <v>45</v>
      </c>
      <c r="AI236" s="1">
        <v>35</v>
      </c>
      <c r="AJ236" s="1">
        <v>20</v>
      </c>
      <c r="AK236" s="1" t="s">
        <v>408</v>
      </c>
      <c r="AL236" s="1">
        <v>2000</v>
      </c>
      <c r="AM236" s="1" t="s">
        <v>3088</v>
      </c>
      <c r="AN236" s="1">
        <v>2500</v>
      </c>
      <c r="AO236" s="1" t="s">
        <v>113</v>
      </c>
      <c r="AP236" s="1" t="s">
        <v>113</v>
      </c>
      <c r="AQ236" s="1" t="s">
        <v>1021</v>
      </c>
      <c r="AR236" s="1" t="s">
        <v>1021</v>
      </c>
      <c r="AS236" s="1" t="s">
        <v>1021</v>
      </c>
      <c r="AT236" s="1" t="s">
        <v>2700</v>
      </c>
      <c r="AU236" s="1" t="s">
        <v>106</v>
      </c>
      <c r="AV236" s="1" t="s">
        <v>113</v>
      </c>
      <c r="AW236" s="1" t="s">
        <v>2293</v>
      </c>
      <c r="AX236" s="1" t="s">
        <v>946</v>
      </c>
      <c r="AY236" s="1">
        <v>1000</v>
      </c>
      <c r="AZ236" s="1" t="s">
        <v>113</v>
      </c>
      <c r="BA236" s="1" t="s">
        <v>113</v>
      </c>
      <c r="BB236" s="1" t="s">
        <v>3089</v>
      </c>
      <c r="BC236" s="1" t="s">
        <v>3090</v>
      </c>
      <c r="BD236" s="1">
        <v>50</v>
      </c>
      <c r="BE236" s="1">
        <v>100</v>
      </c>
      <c r="BF236" s="1" t="s">
        <v>3091</v>
      </c>
      <c r="BG236" s="1" t="s">
        <v>383</v>
      </c>
      <c r="BH236" s="1" t="s">
        <v>269</v>
      </c>
      <c r="BI236" s="1" t="s">
        <v>269</v>
      </c>
      <c r="BJ236" s="1" t="s">
        <v>128</v>
      </c>
      <c r="BK236" s="1">
        <v>0</v>
      </c>
      <c r="BL236" s="1" t="s">
        <v>127</v>
      </c>
      <c r="BM236" s="1" t="s">
        <v>114</v>
      </c>
      <c r="BN236" s="1" t="s">
        <v>143</v>
      </c>
      <c r="BO236" s="1">
        <v>10</v>
      </c>
      <c r="BP236" s="1" t="s">
        <v>124</v>
      </c>
      <c r="BQ236" s="1" t="s">
        <v>3092</v>
      </c>
      <c r="BR236" s="1" t="s">
        <v>3093</v>
      </c>
      <c r="BS236" s="1" t="s">
        <v>3094</v>
      </c>
      <c r="BT236" s="1" t="s">
        <v>172</v>
      </c>
      <c r="BU236" s="1" t="s">
        <v>239</v>
      </c>
      <c r="BV236" s="1" t="s">
        <v>1028</v>
      </c>
      <c r="BW236" s="1" t="s">
        <v>3095</v>
      </c>
      <c r="BX236" s="1" t="s">
        <v>325</v>
      </c>
      <c r="BY236" s="1" t="s">
        <v>135</v>
      </c>
      <c r="BZ236" s="1" t="s">
        <v>2517</v>
      </c>
      <c r="CA236" s="1">
        <v>2970</v>
      </c>
      <c r="CB236" s="1" t="s">
        <v>216</v>
      </c>
      <c r="CC236" s="1" t="s">
        <v>1488</v>
      </c>
      <c r="CD236" s="1" t="s">
        <v>3096</v>
      </c>
      <c r="CE236" s="1" t="s">
        <v>458</v>
      </c>
      <c r="CF236" s="6">
        <v>900000</v>
      </c>
      <c r="CG236" s="6">
        <v>996802.14</v>
      </c>
      <c r="CH236" s="1">
        <v>180</v>
      </c>
      <c r="CI236" s="1" t="s">
        <v>409</v>
      </c>
      <c r="CJ236" s="1">
        <v>200</v>
      </c>
      <c r="CK236" s="1">
        <v>150</v>
      </c>
      <c r="CL236" s="1">
        <v>0</v>
      </c>
      <c r="CM236" s="1">
        <v>150</v>
      </c>
      <c r="CN236" s="1">
        <v>0</v>
      </c>
      <c r="CO236" s="1">
        <v>0</v>
      </c>
      <c r="CP236" s="1">
        <v>0</v>
      </c>
      <c r="CQ236" s="1">
        <v>0</v>
      </c>
      <c r="CR236" s="1" t="s">
        <v>139</v>
      </c>
      <c r="CS236" s="1" t="s">
        <v>140</v>
      </c>
      <c r="CT236" s="1" t="s">
        <v>573</v>
      </c>
      <c r="CW236" s="1" t="s">
        <v>184</v>
      </c>
      <c r="CX236" s="1" t="s">
        <v>157</v>
      </c>
      <c r="CY236" s="1" t="s">
        <v>276</v>
      </c>
      <c r="CZ236" s="1" t="s">
        <v>144</v>
      </c>
      <c r="DA236" s="1" t="s">
        <v>145</v>
      </c>
    </row>
    <row r="237" spans="1:105" s="3" customFormat="1" ht="11.25" customHeight="1" x14ac:dyDescent="0.2">
      <c r="A237" s="1">
        <v>41</v>
      </c>
      <c r="B237" s="1" t="s">
        <v>3098</v>
      </c>
      <c r="C237" s="1" t="s">
        <v>3097</v>
      </c>
      <c r="D237" s="1">
        <v>5960</v>
      </c>
      <c r="E237" s="2" t="s">
        <v>4201</v>
      </c>
      <c r="F237" s="1" t="s">
        <v>113</v>
      </c>
      <c r="G237" s="1" t="s">
        <v>190</v>
      </c>
      <c r="H237" s="1" t="s">
        <v>3099</v>
      </c>
      <c r="I237" s="1" t="s">
        <v>229</v>
      </c>
      <c r="J237" s="1" t="s">
        <v>113</v>
      </c>
      <c r="K237" s="1" t="s">
        <v>3100</v>
      </c>
      <c r="L237" s="1" t="s">
        <v>111</v>
      </c>
      <c r="M237" s="1" t="s">
        <v>465</v>
      </c>
      <c r="N237" s="1" t="s">
        <v>112</v>
      </c>
      <c r="O237" s="1" t="s">
        <v>113</v>
      </c>
      <c r="P237" s="1" t="s">
        <v>113</v>
      </c>
      <c r="Q237" s="1" t="s">
        <v>195</v>
      </c>
      <c r="R237" s="1" t="s">
        <v>114</v>
      </c>
      <c r="S237" s="1" t="s">
        <v>114</v>
      </c>
      <c r="T237" s="1" t="s">
        <v>106</v>
      </c>
      <c r="U237" s="1" t="s">
        <v>114</v>
      </c>
      <c r="V237" s="1" t="s">
        <v>1291</v>
      </c>
      <c r="W237" s="1" t="s">
        <v>115</v>
      </c>
      <c r="X237" s="1" t="s">
        <v>113</v>
      </c>
      <c r="Y237" s="1" t="s">
        <v>114</v>
      </c>
      <c r="Z237" s="1">
        <v>100</v>
      </c>
      <c r="AA237" s="1" t="s">
        <v>116</v>
      </c>
      <c r="AB237" s="1" t="s">
        <v>128</v>
      </c>
      <c r="AC237" s="1" t="s">
        <v>128</v>
      </c>
      <c r="AD237" s="1">
        <v>0</v>
      </c>
      <c r="AE237" s="1" t="s">
        <v>114</v>
      </c>
      <c r="AF237" s="1">
        <v>1607</v>
      </c>
      <c r="AG237" s="1" t="s">
        <v>106</v>
      </c>
      <c r="AH237" s="1">
        <v>50</v>
      </c>
      <c r="AI237" s="1">
        <v>15</v>
      </c>
      <c r="AJ237" s="1">
        <v>35</v>
      </c>
      <c r="AK237" s="1" t="s">
        <v>796</v>
      </c>
      <c r="AL237" s="1">
        <v>1200</v>
      </c>
      <c r="AM237" s="1" t="s">
        <v>293</v>
      </c>
      <c r="AN237" s="1">
        <v>1200</v>
      </c>
      <c r="AO237" s="1" t="s">
        <v>113</v>
      </c>
      <c r="AP237" s="1" t="s">
        <v>113</v>
      </c>
      <c r="AQ237" s="1" t="s">
        <v>114</v>
      </c>
      <c r="AR237" s="1" t="s">
        <v>114</v>
      </c>
      <c r="AS237" s="1" t="s">
        <v>114</v>
      </c>
      <c r="AT237" s="1" t="s">
        <v>123</v>
      </c>
      <c r="AU237" s="1" t="s">
        <v>106</v>
      </c>
      <c r="AV237" s="1" t="s">
        <v>113</v>
      </c>
      <c r="AW237" s="1" t="s">
        <v>164</v>
      </c>
      <c r="AX237" s="1" t="s">
        <v>165</v>
      </c>
      <c r="AY237" s="1">
        <v>50</v>
      </c>
      <c r="AZ237" s="1" t="s">
        <v>113</v>
      </c>
      <c r="BA237" s="1" t="s">
        <v>113</v>
      </c>
      <c r="BB237" s="1" t="s">
        <v>125</v>
      </c>
      <c r="BC237" s="1" t="s">
        <v>166</v>
      </c>
      <c r="BD237" s="1">
        <v>0</v>
      </c>
      <c r="BE237" s="1">
        <v>100</v>
      </c>
      <c r="BF237" s="1" t="s">
        <v>167</v>
      </c>
      <c r="BG237" s="1" t="s">
        <v>116</v>
      </c>
      <c r="BH237" s="1" t="s">
        <v>168</v>
      </c>
      <c r="BI237" s="1" t="s">
        <v>168</v>
      </c>
      <c r="BJ237" s="1" t="s">
        <v>128</v>
      </c>
      <c r="BK237" s="1">
        <v>0</v>
      </c>
      <c r="BL237" s="1" t="s">
        <v>127</v>
      </c>
      <c r="BM237" s="1" t="s">
        <v>114</v>
      </c>
      <c r="BN237" s="1">
        <v>0</v>
      </c>
      <c r="BO237" s="1">
        <v>0</v>
      </c>
      <c r="BP237" s="1" t="s">
        <v>124</v>
      </c>
      <c r="BQ237" s="1" t="s">
        <v>114</v>
      </c>
      <c r="BR237" s="1" t="s">
        <v>3101</v>
      </c>
      <c r="BS237" s="1" t="s">
        <v>1293</v>
      </c>
      <c r="BT237" s="1" t="s">
        <v>172</v>
      </c>
      <c r="BU237" s="1" t="s">
        <v>239</v>
      </c>
      <c r="BV237" s="1" t="s">
        <v>1028</v>
      </c>
      <c r="BW237" s="1" t="s">
        <v>134</v>
      </c>
      <c r="BX237" s="1" t="s">
        <v>325</v>
      </c>
      <c r="BY237" s="1" t="s">
        <v>299</v>
      </c>
      <c r="BZ237" s="1" t="s">
        <v>3102</v>
      </c>
      <c r="CA237" s="1">
        <v>1607</v>
      </c>
      <c r="CB237" s="1" t="s">
        <v>244</v>
      </c>
      <c r="CC237" s="1" t="s">
        <v>177</v>
      </c>
      <c r="CD237" s="1" t="s">
        <v>114</v>
      </c>
      <c r="CE237" s="1" t="s">
        <v>219</v>
      </c>
      <c r="CF237" s="1">
        <v>160000</v>
      </c>
      <c r="CG237" s="1">
        <v>1200000</v>
      </c>
      <c r="CH237" s="1">
        <v>230</v>
      </c>
      <c r="CI237" s="1">
        <v>0</v>
      </c>
      <c r="CJ237" s="1">
        <v>180</v>
      </c>
      <c r="CK237" s="1">
        <v>230</v>
      </c>
      <c r="CL237" s="1">
        <v>0</v>
      </c>
      <c r="CM237" s="1">
        <v>68</v>
      </c>
      <c r="CN237" s="1">
        <v>90</v>
      </c>
      <c r="CO237" s="1">
        <v>0</v>
      </c>
      <c r="CP237" s="1">
        <v>0</v>
      </c>
      <c r="CQ237" s="1">
        <v>0</v>
      </c>
      <c r="CR237" s="1" t="s">
        <v>139</v>
      </c>
      <c r="CS237" s="1" t="s">
        <v>308</v>
      </c>
      <c r="CT237" s="1" t="s">
        <v>3103</v>
      </c>
      <c r="CU237" s="1" t="s">
        <v>3104</v>
      </c>
      <c r="CV237" s="1" t="s">
        <v>114</v>
      </c>
      <c r="CW237" s="1" t="s">
        <v>251</v>
      </c>
      <c r="CX237" s="1" t="s">
        <v>114</v>
      </c>
      <c r="CY237" s="1" t="s">
        <v>114</v>
      </c>
      <c r="CZ237" s="1" t="s">
        <v>144</v>
      </c>
      <c r="DA237" s="1" t="s">
        <v>145</v>
      </c>
    </row>
    <row r="238" spans="1:105" s="3" customFormat="1" ht="11.25" customHeight="1" x14ac:dyDescent="0.2">
      <c r="A238" s="1">
        <v>41</v>
      </c>
      <c r="B238" s="1" t="s">
        <v>3106</v>
      </c>
      <c r="C238" s="1" t="s">
        <v>3105</v>
      </c>
      <c r="D238" s="1">
        <v>4280</v>
      </c>
      <c r="E238" s="2" t="s">
        <v>4201</v>
      </c>
      <c r="F238" s="1" t="s">
        <v>106</v>
      </c>
      <c r="G238" s="1" t="s">
        <v>3107</v>
      </c>
      <c r="H238" s="1" t="s">
        <v>3108</v>
      </c>
      <c r="I238" s="1" t="s">
        <v>193</v>
      </c>
      <c r="J238" s="1" t="s">
        <v>113</v>
      </c>
      <c r="L238" s="1" t="s">
        <v>111</v>
      </c>
      <c r="M238" s="1" t="s">
        <v>257</v>
      </c>
      <c r="N238" s="1" t="s">
        <v>112</v>
      </c>
      <c r="O238" s="1" t="s">
        <v>113</v>
      </c>
      <c r="P238" s="1" t="s">
        <v>113</v>
      </c>
      <c r="Q238" s="1" t="s">
        <v>1298</v>
      </c>
      <c r="R238" s="1" t="s">
        <v>114</v>
      </c>
      <c r="S238" s="1" t="s">
        <v>114</v>
      </c>
      <c r="T238" s="1" t="s">
        <v>113</v>
      </c>
      <c r="U238" s="1" t="s">
        <v>114</v>
      </c>
      <c r="V238" s="1" t="s">
        <v>3109</v>
      </c>
      <c r="W238" s="1" t="s">
        <v>115</v>
      </c>
      <c r="X238" s="1" t="s">
        <v>113</v>
      </c>
      <c r="Y238" s="1" t="s">
        <v>114</v>
      </c>
      <c r="Z238" s="1">
        <v>100</v>
      </c>
      <c r="AA238" s="1" t="s">
        <v>116</v>
      </c>
      <c r="AB238" s="1" t="s">
        <v>128</v>
      </c>
      <c r="AC238" s="1" t="s">
        <v>128</v>
      </c>
      <c r="AD238" s="1">
        <v>0</v>
      </c>
      <c r="AE238" s="1" t="s">
        <v>135</v>
      </c>
      <c r="AF238" s="1">
        <v>336</v>
      </c>
      <c r="AG238" s="1" t="s">
        <v>113</v>
      </c>
      <c r="AH238" s="1">
        <v>1</v>
      </c>
      <c r="AI238" s="1">
        <v>15</v>
      </c>
      <c r="AJ238" s="1">
        <v>5</v>
      </c>
      <c r="AK238" s="1" t="s">
        <v>3110</v>
      </c>
      <c r="AM238" s="1" t="s">
        <v>3111</v>
      </c>
      <c r="AN238" s="1">
        <v>0</v>
      </c>
      <c r="AO238" s="1" t="s">
        <v>113</v>
      </c>
      <c r="AP238" s="1" t="s">
        <v>113</v>
      </c>
      <c r="AQ238" s="1" t="s">
        <v>114</v>
      </c>
      <c r="AR238" s="1" t="s">
        <v>114</v>
      </c>
      <c r="AS238" s="1" t="s">
        <v>114</v>
      </c>
      <c r="AT238" s="1" t="s">
        <v>628</v>
      </c>
      <c r="AU238" s="1" t="s">
        <v>113</v>
      </c>
      <c r="AV238" s="1" t="s">
        <v>113</v>
      </c>
      <c r="AW238" s="1" t="s">
        <v>124</v>
      </c>
      <c r="AX238" s="1" t="s">
        <v>165</v>
      </c>
      <c r="AY238" s="1">
        <v>0</v>
      </c>
      <c r="AZ238" s="1" t="s">
        <v>113</v>
      </c>
      <c r="BA238" s="1" t="s">
        <v>113</v>
      </c>
      <c r="BB238" s="1" t="s">
        <v>125</v>
      </c>
      <c r="BC238" s="1" t="s">
        <v>166</v>
      </c>
      <c r="BD238" s="1">
        <v>0</v>
      </c>
      <c r="BE238" s="1">
        <v>100</v>
      </c>
      <c r="BF238" s="1" t="s">
        <v>167</v>
      </c>
      <c r="BG238" s="1" t="s">
        <v>116</v>
      </c>
      <c r="BH238" s="1" t="s">
        <v>710</v>
      </c>
      <c r="BI238" s="1" t="s">
        <v>710</v>
      </c>
      <c r="BJ238" s="1" t="s">
        <v>128</v>
      </c>
      <c r="BK238" s="1">
        <v>0</v>
      </c>
      <c r="BL238" s="1" t="s">
        <v>127</v>
      </c>
      <c r="BM238" s="1" t="s">
        <v>114</v>
      </c>
      <c r="BN238" s="1" t="s">
        <v>276</v>
      </c>
      <c r="BO238" s="1">
        <v>4</v>
      </c>
      <c r="BP238" s="1" t="s">
        <v>115</v>
      </c>
      <c r="BQ238" s="1" t="s">
        <v>929</v>
      </c>
      <c r="BR238" s="1" t="s">
        <v>3112</v>
      </c>
      <c r="BS238" s="1" t="s">
        <v>3113</v>
      </c>
      <c r="BT238" s="1" t="s">
        <v>131</v>
      </c>
      <c r="BU238" s="1" t="s">
        <v>132</v>
      </c>
      <c r="BV238" s="1" t="s">
        <v>3114</v>
      </c>
      <c r="BW238" s="1" t="s">
        <v>134</v>
      </c>
      <c r="BX238" s="1" t="s">
        <v>3115</v>
      </c>
      <c r="BY238" s="1" t="s">
        <v>135</v>
      </c>
      <c r="BZ238" s="1" t="s">
        <v>157</v>
      </c>
      <c r="CA238" s="1">
        <v>335</v>
      </c>
      <c r="CB238" s="1" t="s">
        <v>176</v>
      </c>
      <c r="CC238" s="1" t="s">
        <v>301</v>
      </c>
      <c r="CD238" s="1" t="s">
        <v>3116</v>
      </c>
      <c r="CF238" s="6">
        <v>115216.99</v>
      </c>
      <c r="CG238" s="6">
        <v>110271.02</v>
      </c>
      <c r="CH238" s="1">
        <v>0</v>
      </c>
      <c r="CI238" s="1">
        <v>0</v>
      </c>
      <c r="CJ238" s="1">
        <v>0</v>
      </c>
      <c r="CK238" s="1">
        <v>0</v>
      </c>
      <c r="CL238" s="1">
        <v>0</v>
      </c>
      <c r="CM238" s="1">
        <v>0</v>
      </c>
      <c r="CN238" s="1">
        <v>0</v>
      </c>
      <c r="CO238" s="1">
        <v>0</v>
      </c>
      <c r="CP238" s="1">
        <v>0</v>
      </c>
      <c r="CQ238" s="1">
        <v>0</v>
      </c>
      <c r="CR238" s="1" t="s">
        <v>139</v>
      </c>
      <c r="CS238" s="1" t="s">
        <v>308</v>
      </c>
      <c r="CT238" s="1" t="s">
        <v>3117</v>
      </c>
      <c r="CV238" s="1" t="s">
        <v>3117</v>
      </c>
      <c r="CW238" s="1" t="s">
        <v>284</v>
      </c>
      <c r="CX238" s="1" t="s">
        <v>3118</v>
      </c>
      <c r="CY238" s="1" t="s">
        <v>143</v>
      </c>
      <c r="CZ238" s="1" t="s">
        <v>144</v>
      </c>
      <c r="DA238" s="1" t="s">
        <v>145</v>
      </c>
    </row>
    <row r="239" spans="1:105" s="3" customFormat="1" ht="11.25" customHeight="1" x14ac:dyDescent="0.2">
      <c r="A239" s="1">
        <v>41</v>
      </c>
      <c r="B239" s="1" t="s">
        <v>3119</v>
      </c>
      <c r="C239" s="1" t="s">
        <v>2440</v>
      </c>
      <c r="D239" s="1">
        <v>12280</v>
      </c>
      <c r="E239" s="2" t="s">
        <v>1688</v>
      </c>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V239" s="1"/>
      <c r="CW239" s="1"/>
      <c r="CX239" s="1"/>
      <c r="CY239" s="1"/>
      <c r="CZ239" s="1"/>
      <c r="DA239" s="1"/>
    </row>
    <row r="240" spans="1:105" s="3" customFormat="1" ht="11.25" customHeight="1" x14ac:dyDescent="0.2">
      <c r="A240" s="1">
        <v>41</v>
      </c>
      <c r="B240" s="1" t="s">
        <v>3120</v>
      </c>
      <c r="C240" s="1" t="s">
        <v>3121</v>
      </c>
      <c r="D240" s="1">
        <v>12287</v>
      </c>
      <c r="E240" s="2" t="s">
        <v>1688</v>
      </c>
      <c r="F240" s="1"/>
      <c r="G240" s="1"/>
      <c r="H240" s="1"/>
      <c r="I240" s="1"/>
      <c r="J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V240" s="1"/>
      <c r="CW240" s="1"/>
      <c r="CX240" s="1"/>
      <c r="CY240" s="1"/>
      <c r="CZ240" s="1"/>
      <c r="DA240" s="1"/>
    </row>
    <row r="241" spans="1:105" s="3" customFormat="1" ht="11.25" customHeight="1" x14ac:dyDescent="0.2">
      <c r="A241" s="1">
        <v>41</v>
      </c>
      <c r="B241" s="1" t="s">
        <v>3123</v>
      </c>
      <c r="C241" s="1" t="s">
        <v>3122</v>
      </c>
      <c r="D241" s="1">
        <v>8535</v>
      </c>
      <c r="E241" s="2" t="s">
        <v>4201</v>
      </c>
      <c r="F241" s="1" t="s">
        <v>106</v>
      </c>
      <c r="G241" s="1" t="s">
        <v>603</v>
      </c>
      <c r="H241" s="1" t="s">
        <v>604</v>
      </c>
      <c r="I241" s="1" t="s">
        <v>3124</v>
      </c>
      <c r="J241" s="1" t="s">
        <v>113</v>
      </c>
      <c r="K241" s="1" t="s">
        <v>604</v>
      </c>
      <c r="L241" s="1" t="s">
        <v>111</v>
      </c>
      <c r="M241" s="1" t="s">
        <v>111</v>
      </c>
      <c r="N241" s="1" t="s">
        <v>112</v>
      </c>
      <c r="O241" s="1" t="s">
        <v>106</v>
      </c>
      <c r="P241" s="1" t="s">
        <v>113</v>
      </c>
      <c r="Q241" s="1" t="s">
        <v>195</v>
      </c>
      <c r="R241" s="1" t="s">
        <v>3125</v>
      </c>
      <c r="S241" s="1" t="s">
        <v>3126</v>
      </c>
      <c r="T241" s="1" t="s">
        <v>106</v>
      </c>
      <c r="U241" s="1" t="s">
        <v>3125</v>
      </c>
      <c r="V241" s="1" t="s">
        <v>625</v>
      </c>
      <c r="W241" s="1" t="s">
        <v>115</v>
      </c>
      <c r="X241" s="1" t="s">
        <v>113</v>
      </c>
      <c r="Y241" s="1" t="s">
        <v>114</v>
      </c>
      <c r="Z241" s="1">
        <v>100</v>
      </c>
      <c r="AA241" s="1" t="s">
        <v>132</v>
      </c>
      <c r="AB241" s="1" t="s">
        <v>128</v>
      </c>
      <c r="AC241" s="1" t="s">
        <v>128</v>
      </c>
      <c r="AD241" s="1">
        <v>0</v>
      </c>
      <c r="AE241" s="1" t="s">
        <v>3127</v>
      </c>
      <c r="AF241" s="1">
        <v>830</v>
      </c>
      <c r="AG241" s="1" t="s">
        <v>113</v>
      </c>
      <c r="AH241" s="1">
        <v>0</v>
      </c>
      <c r="AI241" s="1">
        <v>0</v>
      </c>
      <c r="AJ241" s="1">
        <v>0</v>
      </c>
      <c r="AK241" s="1" t="s">
        <v>449</v>
      </c>
      <c r="AL241" s="1">
        <v>30</v>
      </c>
      <c r="AM241" s="1" t="s">
        <v>172</v>
      </c>
      <c r="AN241" s="1">
        <v>30</v>
      </c>
      <c r="AO241" s="1" t="s">
        <v>113</v>
      </c>
      <c r="AP241" s="1" t="s">
        <v>113</v>
      </c>
      <c r="AQ241" s="1" t="s">
        <v>114</v>
      </c>
      <c r="AR241" s="1" t="s">
        <v>114</v>
      </c>
      <c r="AS241" s="1" t="s">
        <v>114</v>
      </c>
      <c r="AT241" s="1" t="s">
        <v>628</v>
      </c>
      <c r="AU241" s="1" t="s">
        <v>106</v>
      </c>
      <c r="AV241" s="1" t="s">
        <v>113</v>
      </c>
      <c r="AW241" s="1" t="s">
        <v>164</v>
      </c>
      <c r="AX241" s="1" t="s">
        <v>206</v>
      </c>
      <c r="AY241" s="1">
        <v>225</v>
      </c>
      <c r="AZ241" s="1" t="s">
        <v>113</v>
      </c>
      <c r="BA241" s="1" t="s">
        <v>113</v>
      </c>
      <c r="BB241" s="1" t="s">
        <v>125</v>
      </c>
      <c r="BC241" s="1" t="s">
        <v>166</v>
      </c>
      <c r="BD241" s="1">
        <v>0</v>
      </c>
      <c r="BE241" s="1">
        <v>100</v>
      </c>
      <c r="BF241" s="1" t="s">
        <v>167</v>
      </c>
      <c r="BG241" s="1" t="s">
        <v>116</v>
      </c>
      <c r="BI241" s="1" t="s">
        <v>269</v>
      </c>
      <c r="BJ241" s="1" t="s">
        <v>208</v>
      </c>
      <c r="BK241" s="1">
        <v>30</v>
      </c>
      <c r="BL241" s="1" t="s">
        <v>270</v>
      </c>
      <c r="BM241" s="1" t="s">
        <v>210</v>
      </c>
      <c r="BN241" s="1">
        <v>5</v>
      </c>
      <c r="BO241" s="1">
        <v>3</v>
      </c>
      <c r="BP241" s="1" t="s">
        <v>115</v>
      </c>
      <c r="BQ241" s="1" t="s">
        <v>388</v>
      </c>
      <c r="BR241" s="1" t="s">
        <v>3128</v>
      </c>
      <c r="BS241" s="1" t="s">
        <v>3129</v>
      </c>
      <c r="BT241" s="1" t="s">
        <v>172</v>
      </c>
      <c r="BU241" s="1" t="s">
        <v>132</v>
      </c>
      <c r="BV241" s="1" t="s">
        <v>3130</v>
      </c>
      <c r="BW241" s="1" t="s">
        <v>134</v>
      </c>
      <c r="BX241" s="1" t="s">
        <v>633</v>
      </c>
      <c r="BY241" s="1" t="s">
        <v>135</v>
      </c>
      <c r="BZ241" s="1" t="s">
        <v>3131</v>
      </c>
      <c r="CA241" s="1">
        <v>830</v>
      </c>
      <c r="CB241" s="1" t="s">
        <v>244</v>
      </c>
      <c r="CC241" s="1" t="s">
        <v>177</v>
      </c>
      <c r="CD241" s="1" t="s">
        <v>3132</v>
      </c>
      <c r="CE241" s="1" t="s">
        <v>179</v>
      </c>
      <c r="CF241" s="1">
        <v>119065699</v>
      </c>
      <c r="CG241" s="1">
        <v>134056376</v>
      </c>
      <c r="CH241" s="4">
        <v>121990</v>
      </c>
      <c r="CI241" s="1">
        <v>0</v>
      </c>
      <c r="CJ241" s="4">
        <v>121990</v>
      </c>
      <c r="CK241" s="1">
        <v>62239</v>
      </c>
      <c r="CL241" s="1">
        <v>22255</v>
      </c>
      <c r="CM241" s="4">
        <v>121990</v>
      </c>
      <c r="CN241" s="1">
        <v>0</v>
      </c>
      <c r="CO241" s="1">
        <v>0</v>
      </c>
      <c r="CP241" s="1">
        <v>0</v>
      </c>
      <c r="CQ241" s="1">
        <v>0</v>
      </c>
      <c r="CR241" s="1" t="s">
        <v>180</v>
      </c>
      <c r="CS241" s="1" t="s">
        <v>140</v>
      </c>
      <c r="CT241" s="1" t="s">
        <v>394</v>
      </c>
      <c r="CW241" s="1" t="s">
        <v>251</v>
      </c>
      <c r="CX241" s="1" t="s">
        <v>157</v>
      </c>
      <c r="CY241" s="1" t="s">
        <v>276</v>
      </c>
      <c r="CZ241" s="1" t="s">
        <v>144</v>
      </c>
      <c r="DA241" s="1" t="s">
        <v>145</v>
      </c>
    </row>
    <row r="242" spans="1:105" s="3" customFormat="1" ht="11.25" customHeight="1" x14ac:dyDescent="0.2">
      <c r="A242" s="1">
        <v>41</v>
      </c>
      <c r="B242" s="1" t="s">
        <v>3134</v>
      </c>
      <c r="C242" s="1" t="s">
        <v>3133</v>
      </c>
      <c r="D242" s="1">
        <v>6870</v>
      </c>
      <c r="E242" s="2" t="s">
        <v>4201</v>
      </c>
      <c r="F242" s="1" t="s">
        <v>113</v>
      </c>
      <c r="G242" s="1" t="s">
        <v>190</v>
      </c>
      <c r="H242" s="1" t="s">
        <v>143</v>
      </c>
      <c r="I242" s="1" t="s">
        <v>229</v>
      </c>
      <c r="J242" s="1" t="s">
        <v>229</v>
      </c>
      <c r="K242" s="1" t="s">
        <v>143</v>
      </c>
      <c r="L242" s="1" t="s">
        <v>111</v>
      </c>
      <c r="M242" s="1" t="s">
        <v>143</v>
      </c>
      <c r="N242" s="1" t="s">
        <v>112</v>
      </c>
      <c r="O242" s="1" t="s">
        <v>113</v>
      </c>
      <c r="P242" s="1" t="s">
        <v>113</v>
      </c>
      <c r="Q242" s="1" t="s">
        <v>195</v>
      </c>
      <c r="R242" s="1" t="s">
        <v>3135</v>
      </c>
      <c r="S242" s="1" t="s">
        <v>143</v>
      </c>
      <c r="T242" s="1" t="s">
        <v>106</v>
      </c>
      <c r="U242" s="1" t="s">
        <v>3136</v>
      </c>
      <c r="V242" s="1" t="s">
        <v>3137</v>
      </c>
      <c r="W242" s="1" t="s">
        <v>115</v>
      </c>
      <c r="X242" s="1" t="s">
        <v>106</v>
      </c>
      <c r="Y242" s="1" t="s">
        <v>3138</v>
      </c>
      <c r="Z242" s="1">
        <v>100</v>
      </c>
      <c r="AA242" s="1" t="s">
        <v>132</v>
      </c>
      <c r="AB242" s="1" t="s">
        <v>128</v>
      </c>
      <c r="AC242" s="1" t="s">
        <v>118</v>
      </c>
      <c r="AD242" s="1">
        <v>26</v>
      </c>
      <c r="AE242" s="1" t="s">
        <v>132</v>
      </c>
      <c r="AF242" s="1">
        <v>608</v>
      </c>
      <c r="AG242" s="1" t="s">
        <v>113</v>
      </c>
      <c r="AH242" s="1">
        <v>0</v>
      </c>
      <c r="AI242" s="1">
        <v>0</v>
      </c>
      <c r="AJ242" s="1">
        <v>0</v>
      </c>
      <c r="AK242" s="1" t="s">
        <v>408</v>
      </c>
      <c r="AL242" s="1">
        <v>221</v>
      </c>
      <c r="AM242" s="1" t="s">
        <v>120</v>
      </c>
      <c r="AN242" s="1">
        <v>221</v>
      </c>
      <c r="AO242" s="1" t="s">
        <v>113</v>
      </c>
      <c r="AP242" s="1" t="s">
        <v>113</v>
      </c>
      <c r="AQ242" s="1" t="s">
        <v>143</v>
      </c>
      <c r="AR242" s="1" t="s">
        <v>143</v>
      </c>
      <c r="AS242" s="1" t="s">
        <v>143</v>
      </c>
      <c r="AT242" s="1" t="s">
        <v>628</v>
      </c>
      <c r="AU242" s="1" t="s">
        <v>113</v>
      </c>
      <c r="AV242" s="1" t="s">
        <v>113</v>
      </c>
      <c r="AW242" s="1" t="s">
        <v>164</v>
      </c>
      <c r="AY242" s="5" t="s">
        <v>220</v>
      </c>
      <c r="AZ242" s="1" t="s">
        <v>106</v>
      </c>
      <c r="BA242" s="1" t="s">
        <v>113</v>
      </c>
      <c r="BB242" s="1" t="s">
        <v>125</v>
      </c>
      <c r="BC242" s="1" t="s">
        <v>166</v>
      </c>
      <c r="BD242" s="5" t="s">
        <v>220</v>
      </c>
      <c r="BE242" s="1">
        <v>100</v>
      </c>
      <c r="BF242" s="1" t="s">
        <v>167</v>
      </c>
      <c r="BG242" s="1" t="s">
        <v>132</v>
      </c>
      <c r="BH242" s="1" t="s">
        <v>269</v>
      </c>
      <c r="BI242" s="1" t="s">
        <v>269</v>
      </c>
      <c r="BJ242" s="1" t="s">
        <v>208</v>
      </c>
      <c r="BK242" s="1">
        <v>0</v>
      </c>
      <c r="BL242" s="1" t="s">
        <v>167</v>
      </c>
      <c r="BM242" s="1" t="s">
        <v>472</v>
      </c>
      <c r="BN242" s="5" t="s">
        <v>220</v>
      </c>
      <c r="BO242" s="1">
        <v>13</v>
      </c>
      <c r="BP242" s="1" t="s">
        <v>124</v>
      </c>
      <c r="BQ242" s="1" t="s">
        <v>143</v>
      </c>
      <c r="BR242" s="1" t="s">
        <v>3139</v>
      </c>
      <c r="BS242" s="1" t="s">
        <v>3140</v>
      </c>
      <c r="BT242" s="1" t="s">
        <v>172</v>
      </c>
      <c r="BU242" s="1" t="s">
        <v>132</v>
      </c>
      <c r="BV242" s="1" t="s">
        <v>2235</v>
      </c>
      <c r="BW242" s="1" t="s">
        <v>298</v>
      </c>
      <c r="BX242" s="1" t="s">
        <v>325</v>
      </c>
      <c r="BY242" s="1" t="s">
        <v>299</v>
      </c>
      <c r="BZ242" s="1" t="s">
        <v>3141</v>
      </c>
      <c r="CA242" s="1">
        <v>381</v>
      </c>
      <c r="CB242" s="1" t="s">
        <v>244</v>
      </c>
      <c r="CC242" s="1" t="s">
        <v>177</v>
      </c>
      <c r="CD242" s="1" t="s">
        <v>3142</v>
      </c>
      <c r="CE242" s="1" t="s">
        <v>219</v>
      </c>
      <c r="CF242" s="1">
        <v>46722.55</v>
      </c>
      <c r="CG242" s="1">
        <v>622653.22</v>
      </c>
      <c r="CH242" s="1">
        <v>829</v>
      </c>
      <c r="CI242" s="1">
        <v>0</v>
      </c>
      <c r="CJ242" s="1">
        <v>829</v>
      </c>
      <c r="CK242" s="1">
        <v>0</v>
      </c>
      <c r="CL242" s="1">
        <v>829</v>
      </c>
      <c r="CM242" s="1">
        <v>0</v>
      </c>
      <c r="CN242" s="1">
        <v>0</v>
      </c>
      <c r="CO242" s="1">
        <v>0</v>
      </c>
      <c r="CP242" s="5" t="s">
        <v>220</v>
      </c>
      <c r="CQ242" s="1">
        <v>0</v>
      </c>
      <c r="CR242" s="1" t="s">
        <v>180</v>
      </c>
      <c r="CS242" s="1" t="s">
        <v>140</v>
      </c>
      <c r="CT242" s="1" t="s">
        <v>394</v>
      </c>
      <c r="CV242" s="1" t="s">
        <v>3143</v>
      </c>
      <c r="CW242" s="1" t="s">
        <v>251</v>
      </c>
      <c r="CX242" s="1" t="s">
        <v>143</v>
      </c>
      <c r="CY242" s="1" t="s">
        <v>143</v>
      </c>
      <c r="CZ242" s="1" t="s">
        <v>144</v>
      </c>
      <c r="DA242" s="1" t="s">
        <v>145</v>
      </c>
    </row>
    <row r="243" spans="1:105" s="3" customFormat="1" ht="11.25" customHeight="1" x14ac:dyDescent="0.2">
      <c r="A243" s="1">
        <v>41</v>
      </c>
      <c r="B243" s="1" t="s">
        <v>3145</v>
      </c>
      <c r="C243" s="1" t="s">
        <v>3144</v>
      </c>
      <c r="D243" s="1">
        <v>3210</v>
      </c>
      <c r="E243" s="2" t="s">
        <v>4201</v>
      </c>
      <c r="F243" s="1" t="s">
        <v>113</v>
      </c>
      <c r="H243" s="1" t="s">
        <v>693</v>
      </c>
      <c r="I243" s="1" t="s">
        <v>229</v>
      </c>
      <c r="J243" s="1" t="s">
        <v>229</v>
      </c>
      <c r="L243" s="1" t="s">
        <v>111</v>
      </c>
      <c r="M243" s="1" t="s">
        <v>693</v>
      </c>
      <c r="N243" s="1" t="s">
        <v>112</v>
      </c>
      <c r="O243" s="1" t="s">
        <v>106</v>
      </c>
      <c r="P243" s="1" t="s">
        <v>113</v>
      </c>
      <c r="Q243" s="1" t="s">
        <v>258</v>
      </c>
      <c r="R243" s="1" t="s">
        <v>3146</v>
      </c>
      <c r="S243" s="1" t="s">
        <v>3147</v>
      </c>
      <c r="T243" s="1" t="s">
        <v>106</v>
      </c>
      <c r="U243" s="1" t="s">
        <v>3148</v>
      </c>
      <c r="W243" s="1" t="s">
        <v>199</v>
      </c>
      <c r="X243" s="1" t="s">
        <v>113</v>
      </c>
      <c r="Z243" s="1">
        <v>100</v>
      </c>
      <c r="AA243" s="1" t="s">
        <v>116</v>
      </c>
      <c r="AB243" s="1" t="s">
        <v>128</v>
      </c>
      <c r="AC243" s="1" t="s">
        <v>118</v>
      </c>
      <c r="AD243" s="1">
        <v>5</v>
      </c>
      <c r="AE243" s="1" t="s">
        <v>116</v>
      </c>
      <c r="AF243" s="1">
        <v>2</v>
      </c>
      <c r="AG243" s="1" t="s">
        <v>113</v>
      </c>
      <c r="AH243" s="1">
        <v>0</v>
      </c>
      <c r="AI243" s="1">
        <v>0</v>
      </c>
      <c r="AJ243" s="1">
        <v>0</v>
      </c>
      <c r="AK243" s="1" t="s">
        <v>1002</v>
      </c>
      <c r="AL243" s="1">
        <v>0</v>
      </c>
      <c r="AM243" s="1" t="s">
        <v>131</v>
      </c>
      <c r="AO243" s="1" t="s">
        <v>113</v>
      </c>
      <c r="AP243" s="1" t="s">
        <v>106</v>
      </c>
      <c r="AQ243" s="1" t="s">
        <v>3149</v>
      </c>
      <c r="AR243" s="1" t="s">
        <v>3150</v>
      </c>
      <c r="AS243" s="1" t="s">
        <v>3151</v>
      </c>
      <c r="AT243" s="1" t="s">
        <v>204</v>
      </c>
      <c r="AU243" s="1" t="s">
        <v>106</v>
      </c>
      <c r="AV243" s="1" t="s">
        <v>113</v>
      </c>
      <c r="AW243" s="1" t="s">
        <v>234</v>
      </c>
      <c r="AX243" s="1" t="s">
        <v>165</v>
      </c>
      <c r="AY243" s="1">
        <v>0</v>
      </c>
      <c r="AZ243" s="1" t="s">
        <v>113</v>
      </c>
      <c r="BA243" s="1" t="s">
        <v>113</v>
      </c>
      <c r="BB243" s="1" t="s">
        <v>125</v>
      </c>
      <c r="BD243" s="1">
        <v>0</v>
      </c>
      <c r="BE243" s="1">
        <v>100</v>
      </c>
      <c r="BF243" s="1" t="s">
        <v>630</v>
      </c>
      <c r="BG243" s="1" t="s">
        <v>268</v>
      </c>
      <c r="BH243" s="1" t="s">
        <v>269</v>
      </c>
      <c r="BJ243" s="1" t="s">
        <v>208</v>
      </c>
      <c r="BK243" s="1">
        <v>5</v>
      </c>
      <c r="BL243" s="1" t="s">
        <v>167</v>
      </c>
      <c r="BM243" s="1" t="s">
        <v>271</v>
      </c>
      <c r="BN243" s="1">
        <v>4</v>
      </c>
      <c r="BP243" s="1" t="s">
        <v>115</v>
      </c>
      <c r="BQ243" s="1" t="s">
        <v>2527</v>
      </c>
      <c r="BR243" s="1" t="s">
        <v>3152</v>
      </c>
      <c r="BS243" s="1" t="s">
        <v>3153</v>
      </c>
      <c r="BT243" s="1" t="s">
        <v>172</v>
      </c>
      <c r="BU243" s="1" t="s">
        <v>132</v>
      </c>
      <c r="BV243" s="1" t="s">
        <v>1418</v>
      </c>
      <c r="BW243" s="1" t="s">
        <v>134</v>
      </c>
      <c r="BX243" s="1" t="s">
        <v>693</v>
      </c>
      <c r="BY243" s="1" t="s">
        <v>135</v>
      </c>
      <c r="BZ243" s="1" t="s">
        <v>3154</v>
      </c>
      <c r="CA243" s="1">
        <v>368</v>
      </c>
      <c r="CB243" s="1" t="s">
        <v>244</v>
      </c>
      <c r="CC243" s="1" t="s">
        <v>217</v>
      </c>
      <c r="CE243" s="1" t="s">
        <v>219</v>
      </c>
      <c r="CF243" s="1">
        <v>19358.009999999998</v>
      </c>
      <c r="CG243" s="1">
        <v>114010</v>
      </c>
      <c r="CH243" s="1">
        <v>92410</v>
      </c>
      <c r="CI243" s="5" t="s">
        <v>2272</v>
      </c>
      <c r="CJ243" s="4">
        <v>9241024</v>
      </c>
      <c r="CK243" s="4">
        <v>21600</v>
      </c>
      <c r="CL243" s="5" t="s">
        <v>2272</v>
      </c>
      <c r="CM243" s="5" t="s">
        <v>2272</v>
      </c>
      <c r="CN243" s="5" t="s">
        <v>1365</v>
      </c>
      <c r="CO243" s="5" t="s">
        <v>1365</v>
      </c>
      <c r="CP243" s="5" t="s">
        <v>1365</v>
      </c>
      <c r="CQ243" s="5" t="s">
        <v>1365</v>
      </c>
      <c r="CR243" s="1" t="s">
        <v>139</v>
      </c>
      <c r="CS243" s="1" t="s">
        <v>140</v>
      </c>
      <c r="CT243" s="1" t="s">
        <v>3155</v>
      </c>
      <c r="CV243" s="1" t="s">
        <v>3156</v>
      </c>
      <c r="CW243" s="1" t="s">
        <v>184</v>
      </c>
      <c r="CX243" s="1" t="s">
        <v>3157</v>
      </c>
      <c r="CY243" s="1" t="s">
        <v>3158</v>
      </c>
      <c r="CZ243" s="1" t="s">
        <v>144</v>
      </c>
      <c r="DA243" s="1" t="s">
        <v>145</v>
      </c>
    </row>
    <row r="244" spans="1:105" s="3" customFormat="1" ht="11.25" customHeight="1" x14ac:dyDescent="0.2">
      <c r="A244" s="1">
        <v>41</v>
      </c>
      <c r="B244" s="1" t="s">
        <v>3160</v>
      </c>
      <c r="C244" s="1" t="s">
        <v>3159</v>
      </c>
      <c r="D244" s="1">
        <v>24627</v>
      </c>
      <c r="E244" s="2" t="s">
        <v>4201</v>
      </c>
      <c r="F244" s="1" t="s">
        <v>106</v>
      </c>
      <c r="G244" s="1" t="s">
        <v>398</v>
      </c>
      <c r="H244" s="1" t="s">
        <v>2563</v>
      </c>
      <c r="I244" s="1" t="s">
        <v>3161</v>
      </c>
      <c r="J244" s="1" t="s">
        <v>113</v>
      </c>
      <c r="K244" s="1" t="s">
        <v>3162</v>
      </c>
      <c r="L244" s="1" t="s">
        <v>111</v>
      </c>
      <c r="M244" s="1" t="s">
        <v>191</v>
      </c>
      <c r="N244" s="1" t="s">
        <v>112</v>
      </c>
      <c r="O244" s="1" t="s">
        <v>106</v>
      </c>
      <c r="P244" s="1" t="s">
        <v>106</v>
      </c>
      <c r="Q244" s="1" t="s">
        <v>152</v>
      </c>
      <c r="R244" s="1" t="s">
        <v>3163</v>
      </c>
      <c r="S244" s="1" t="s">
        <v>3163</v>
      </c>
      <c r="T244" s="1" t="s">
        <v>106</v>
      </c>
      <c r="U244" s="1" t="s">
        <v>3164</v>
      </c>
      <c r="V244" s="1" t="s">
        <v>3165</v>
      </c>
      <c r="W244" s="1" t="s">
        <v>115</v>
      </c>
      <c r="X244" s="1" t="s">
        <v>113</v>
      </c>
      <c r="Y244" s="1" t="s">
        <v>157</v>
      </c>
      <c r="Z244" s="1">
        <v>100</v>
      </c>
      <c r="AA244" s="1" t="s">
        <v>116</v>
      </c>
      <c r="AB244" s="1" t="s">
        <v>128</v>
      </c>
      <c r="AC244" s="1" t="s">
        <v>118</v>
      </c>
      <c r="AD244" s="1">
        <v>65</v>
      </c>
      <c r="AE244" s="1" t="s">
        <v>116</v>
      </c>
      <c r="AF244" s="1">
        <v>9090</v>
      </c>
      <c r="AG244" s="1" t="s">
        <v>113</v>
      </c>
      <c r="AH244" s="1">
        <v>45</v>
      </c>
      <c r="AI244" s="1">
        <v>55</v>
      </c>
      <c r="AJ244" s="1">
        <v>20</v>
      </c>
      <c r="AK244" s="1" t="s">
        <v>232</v>
      </c>
      <c r="AL244" s="1"/>
      <c r="AM244" s="1" t="s">
        <v>131</v>
      </c>
      <c r="AN244" s="1">
        <v>0</v>
      </c>
      <c r="AO244" s="1" t="s">
        <v>113</v>
      </c>
      <c r="AP244" s="1" t="s">
        <v>113</v>
      </c>
      <c r="AQ244" s="1" t="s">
        <v>157</v>
      </c>
      <c r="AR244" s="1" t="s">
        <v>157</v>
      </c>
      <c r="AS244" s="1" t="s">
        <v>157</v>
      </c>
      <c r="AT244" s="1" t="s">
        <v>123</v>
      </c>
      <c r="AU244" s="1" t="s">
        <v>113</v>
      </c>
      <c r="AV244" s="1" t="s">
        <v>106</v>
      </c>
      <c r="AW244" s="1" t="s">
        <v>124</v>
      </c>
      <c r="AX244" s="1" t="s">
        <v>165</v>
      </c>
      <c r="AY244" s="1">
        <v>0</v>
      </c>
      <c r="AZ244" s="1" t="s">
        <v>113</v>
      </c>
      <c r="BA244" s="1" t="s">
        <v>113</v>
      </c>
      <c r="BB244" s="1" t="s">
        <v>125</v>
      </c>
      <c r="BC244" s="1" t="s">
        <v>166</v>
      </c>
      <c r="BD244" s="1">
        <v>0</v>
      </c>
      <c r="BE244" s="1">
        <v>100</v>
      </c>
      <c r="BF244" s="1" t="s">
        <v>630</v>
      </c>
      <c r="BG244" s="1" t="s">
        <v>116</v>
      </c>
      <c r="BH244" s="1" t="s">
        <v>168</v>
      </c>
      <c r="BI244" s="1" t="s">
        <v>168</v>
      </c>
      <c r="BJ244" s="1" t="s">
        <v>208</v>
      </c>
      <c r="BK244" s="1">
        <v>10</v>
      </c>
      <c r="BL244" s="1" t="s">
        <v>270</v>
      </c>
      <c r="BM244" s="1" t="s">
        <v>210</v>
      </c>
      <c r="BN244" s="1">
        <v>4</v>
      </c>
      <c r="BO244" s="1">
        <v>4</v>
      </c>
      <c r="BP244" s="1" t="s">
        <v>947</v>
      </c>
      <c r="BQ244" s="1" t="s">
        <v>682</v>
      </c>
      <c r="BR244" s="1" t="s">
        <v>3166</v>
      </c>
      <c r="BS244" s="1" t="s">
        <v>3167</v>
      </c>
      <c r="BT244" s="1" t="s">
        <v>172</v>
      </c>
      <c r="BU244" s="1" t="s">
        <v>239</v>
      </c>
      <c r="BV244" s="1" t="s">
        <v>2753</v>
      </c>
      <c r="BW244" s="1" t="s">
        <v>298</v>
      </c>
      <c r="BX244" s="1" t="s">
        <v>325</v>
      </c>
      <c r="BY244" s="1" t="s">
        <v>299</v>
      </c>
      <c r="BZ244" s="1" t="s">
        <v>157</v>
      </c>
      <c r="CA244" s="1">
        <v>1818</v>
      </c>
      <c r="CB244" s="1" t="s">
        <v>244</v>
      </c>
      <c r="CC244" s="1" t="s">
        <v>177</v>
      </c>
      <c r="CD244" s="1" t="s">
        <v>3168</v>
      </c>
      <c r="CE244" s="1" t="s">
        <v>179</v>
      </c>
      <c r="CF244" s="1">
        <v>9754384</v>
      </c>
      <c r="CG244" s="1">
        <v>41527137</v>
      </c>
      <c r="CH244" s="1">
        <v>0</v>
      </c>
      <c r="CI244" s="1">
        <v>0</v>
      </c>
      <c r="CJ244" s="1">
        <v>0</v>
      </c>
      <c r="CK244" s="1">
        <v>0</v>
      </c>
      <c r="CL244" s="1">
        <v>0</v>
      </c>
      <c r="CM244" s="1">
        <v>0</v>
      </c>
      <c r="CN244" s="1">
        <v>0</v>
      </c>
      <c r="CO244" s="1">
        <v>0</v>
      </c>
      <c r="CP244" s="1">
        <v>0</v>
      </c>
      <c r="CQ244" s="1">
        <v>0</v>
      </c>
      <c r="CR244" s="1" t="s">
        <v>418</v>
      </c>
      <c r="CS244" s="1" t="s">
        <v>140</v>
      </c>
      <c r="CT244" s="1" t="s">
        <v>282</v>
      </c>
      <c r="CU244" s="1" t="s">
        <v>2238</v>
      </c>
      <c r="CV244" s="1" t="s">
        <v>1033</v>
      </c>
      <c r="CW244" s="1" t="s">
        <v>141</v>
      </c>
      <c r="CX244" s="1">
        <v>0</v>
      </c>
      <c r="CY244" s="1" t="s">
        <v>276</v>
      </c>
      <c r="CZ244" s="1" t="s">
        <v>144</v>
      </c>
      <c r="DA244" s="1" t="s">
        <v>145</v>
      </c>
    </row>
    <row r="245" spans="1:105" s="3" customFormat="1" ht="11.25" customHeight="1" x14ac:dyDescent="0.2">
      <c r="A245" s="1">
        <v>41</v>
      </c>
      <c r="B245" s="1" t="s">
        <v>3170</v>
      </c>
      <c r="C245" s="1" t="s">
        <v>3169</v>
      </c>
      <c r="D245" s="1">
        <v>3206</v>
      </c>
      <c r="E245" s="2" t="s">
        <v>4201</v>
      </c>
      <c r="F245" s="1" t="s">
        <v>113</v>
      </c>
      <c r="H245" s="1" t="s">
        <v>1201</v>
      </c>
      <c r="I245" s="1" t="s">
        <v>229</v>
      </c>
      <c r="J245" s="1" t="s">
        <v>229</v>
      </c>
      <c r="L245" s="1" t="s">
        <v>111</v>
      </c>
      <c r="M245" s="1" t="s">
        <v>705</v>
      </c>
      <c r="N245" s="1" t="s">
        <v>3171</v>
      </c>
      <c r="O245" s="1" t="s">
        <v>113</v>
      </c>
      <c r="P245" s="1" t="s">
        <v>113</v>
      </c>
      <c r="Q245" s="1" t="s">
        <v>195</v>
      </c>
      <c r="R245" s="1">
        <v>2017</v>
      </c>
      <c r="S245" s="1" t="s">
        <v>1021</v>
      </c>
      <c r="T245" s="1" t="s">
        <v>106</v>
      </c>
      <c r="U245" s="1">
        <v>2017</v>
      </c>
      <c r="V245" s="1" t="s">
        <v>1428</v>
      </c>
      <c r="W245" s="1" t="s">
        <v>755</v>
      </c>
      <c r="X245" s="1" t="s">
        <v>113</v>
      </c>
      <c r="Y245" s="1" t="s">
        <v>1021</v>
      </c>
      <c r="Z245" s="1">
        <v>100</v>
      </c>
      <c r="AA245" s="1" t="s">
        <v>116</v>
      </c>
      <c r="AB245" s="1" t="s">
        <v>128</v>
      </c>
      <c r="AC245" s="1" t="s">
        <v>128</v>
      </c>
      <c r="AD245" s="1">
        <v>100</v>
      </c>
      <c r="AE245" s="1" t="s">
        <v>1021</v>
      </c>
      <c r="AF245" s="1">
        <v>500</v>
      </c>
      <c r="AG245" s="1" t="s">
        <v>113</v>
      </c>
      <c r="AH245" s="1">
        <v>0</v>
      </c>
      <c r="AI245" s="1">
        <v>10</v>
      </c>
      <c r="AJ245" s="1">
        <v>10</v>
      </c>
      <c r="AK245" s="1" t="s">
        <v>408</v>
      </c>
      <c r="AM245" s="1" t="s">
        <v>131</v>
      </c>
      <c r="AO245" s="1" t="s">
        <v>113</v>
      </c>
      <c r="AP245" s="1" t="s">
        <v>113</v>
      </c>
      <c r="AQ245" s="1" t="s">
        <v>724</v>
      </c>
      <c r="AR245" s="1" t="s">
        <v>709</v>
      </c>
      <c r="AS245" s="1" t="s">
        <v>709</v>
      </c>
      <c r="AT245" s="1" t="s">
        <v>123</v>
      </c>
      <c r="AU245" s="1" t="s">
        <v>113</v>
      </c>
      <c r="AV245" s="1" t="s">
        <v>113</v>
      </c>
      <c r="AW245" s="1" t="s">
        <v>124</v>
      </c>
      <c r="AX245" s="1" t="s">
        <v>165</v>
      </c>
      <c r="AY245" s="1">
        <v>300</v>
      </c>
      <c r="AZ245" s="1" t="s">
        <v>113</v>
      </c>
      <c r="BA245" s="1" t="s">
        <v>113</v>
      </c>
      <c r="BB245" s="1" t="s">
        <v>125</v>
      </c>
      <c r="BC245" s="1" t="s">
        <v>166</v>
      </c>
      <c r="BD245" s="1">
        <v>10</v>
      </c>
      <c r="BE245" s="1">
        <v>100</v>
      </c>
      <c r="BF245" s="1" t="s">
        <v>167</v>
      </c>
      <c r="BG245" s="1" t="s">
        <v>116</v>
      </c>
      <c r="BH245" s="1" t="s">
        <v>269</v>
      </c>
      <c r="BI245" s="1" t="s">
        <v>269</v>
      </c>
      <c r="BJ245" s="1" t="s">
        <v>208</v>
      </c>
      <c r="BK245" s="1">
        <v>80</v>
      </c>
      <c r="BL245" s="1" t="s">
        <v>167</v>
      </c>
      <c r="BM245" s="1" t="s">
        <v>210</v>
      </c>
      <c r="BN245" s="1" t="s">
        <v>276</v>
      </c>
      <c r="BP245" s="1" t="s">
        <v>124</v>
      </c>
      <c r="BQ245" s="1" t="s">
        <v>3172</v>
      </c>
      <c r="BR245" s="1" t="s">
        <v>3173</v>
      </c>
      <c r="BS245" s="1" t="s">
        <v>3174</v>
      </c>
      <c r="BT245" s="1" t="s">
        <v>172</v>
      </c>
      <c r="BU245" s="1" t="s">
        <v>239</v>
      </c>
      <c r="BV245" s="1" t="s">
        <v>3175</v>
      </c>
      <c r="BW245" s="1" t="s">
        <v>298</v>
      </c>
      <c r="BX245" s="1" t="s">
        <v>2937</v>
      </c>
      <c r="BY245" s="1" t="s">
        <v>135</v>
      </c>
      <c r="BZ245" s="1" t="s">
        <v>3176</v>
      </c>
      <c r="CA245" s="1">
        <v>500</v>
      </c>
      <c r="CB245" s="1" t="s">
        <v>244</v>
      </c>
      <c r="CC245" s="1" t="s">
        <v>177</v>
      </c>
      <c r="CE245" s="1" t="s">
        <v>179</v>
      </c>
      <c r="CF245" s="1" t="s">
        <v>3177</v>
      </c>
      <c r="CG245" s="1" t="s">
        <v>709</v>
      </c>
      <c r="CH245" s="1" t="s">
        <v>709</v>
      </c>
      <c r="CI245" s="1" t="s">
        <v>709</v>
      </c>
      <c r="CJ245" s="1" t="s">
        <v>709</v>
      </c>
      <c r="CK245" s="1" t="s">
        <v>1475</v>
      </c>
      <c r="CL245" s="1">
        <v>0</v>
      </c>
      <c r="CM245" s="1">
        <v>0</v>
      </c>
      <c r="CN245" s="1">
        <v>0</v>
      </c>
      <c r="CO245" s="1">
        <v>0</v>
      </c>
      <c r="CP245" s="1">
        <v>0</v>
      </c>
      <c r="CQ245" s="1">
        <v>0</v>
      </c>
      <c r="CR245" s="1" t="s">
        <v>139</v>
      </c>
      <c r="CS245" s="1" t="s">
        <v>140</v>
      </c>
      <c r="CT245" s="1" t="s">
        <v>573</v>
      </c>
      <c r="CV245" s="1" t="s">
        <v>439</v>
      </c>
      <c r="CW245" s="1" t="s">
        <v>251</v>
      </c>
      <c r="CX245" s="1" t="s">
        <v>709</v>
      </c>
      <c r="CY245" s="1" t="s">
        <v>276</v>
      </c>
      <c r="CZ245" s="1" t="s">
        <v>144</v>
      </c>
      <c r="DA245" s="1" t="s">
        <v>145</v>
      </c>
    </row>
    <row r="246" spans="1:105" s="3" customFormat="1" ht="11.25" customHeight="1" x14ac:dyDescent="0.2">
      <c r="A246" s="1">
        <v>41</v>
      </c>
      <c r="B246" s="1" t="s">
        <v>3179</v>
      </c>
      <c r="C246" s="1" t="s">
        <v>3178</v>
      </c>
      <c r="D246" s="1">
        <v>7031</v>
      </c>
      <c r="E246" s="2" t="s">
        <v>4201</v>
      </c>
      <c r="F246" s="1" t="s">
        <v>113</v>
      </c>
      <c r="G246" s="1" t="s">
        <v>1495</v>
      </c>
      <c r="H246" s="1" t="s">
        <v>2835</v>
      </c>
      <c r="I246" s="1" t="s">
        <v>3180</v>
      </c>
      <c r="J246" s="1" t="s">
        <v>113</v>
      </c>
      <c r="L246" s="1" t="s">
        <v>111</v>
      </c>
      <c r="M246" s="1" t="s">
        <v>111</v>
      </c>
      <c r="N246" s="1" t="s">
        <v>112</v>
      </c>
      <c r="O246" s="1" t="s">
        <v>106</v>
      </c>
      <c r="P246" s="1" t="s">
        <v>113</v>
      </c>
      <c r="Q246" s="1" t="s">
        <v>195</v>
      </c>
      <c r="R246" s="1" t="s">
        <v>3181</v>
      </c>
      <c r="S246" s="1" t="s">
        <v>114</v>
      </c>
      <c r="T246" s="1" t="s">
        <v>106</v>
      </c>
      <c r="U246" s="1" t="s">
        <v>3182</v>
      </c>
      <c r="V246" s="1" t="s">
        <v>3183</v>
      </c>
      <c r="W246" s="1" t="s">
        <v>115</v>
      </c>
      <c r="X246" s="1" t="s">
        <v>113</v>
      </c>
      <c r="Y246" s="1" t="s">
        <v>114</v>
      </c>
      <c r="Z246" s="1">
        <v>100</v>
      </c>
      <c r="AA246" s="1" t="s">
        <v>116</v>
      </c>
      <c r="AB246" s="1" t="s">
        <v>128</v>
      </c>
      <c r="AC246" s="1" t="s">
        <v>118</v>
      </c>
      <c r="AD246" s="1">
        <v>10</v>
      </c>
      <c r="AE246" s="1" t="s">
        <v>116</v>
      </c>
      <c r="AF246" s="1">
        <v>1105</v>
      </c>
      <c r="AG246" s="1" t="s">
        <v>113</v>
      </c>
      <c r="AH246" s="1">
        <v>0</v>
      </c>
      <c r="AI246" s="1">
        <v>0</v>
      </c>
      <c r="AJ246" s="1">
        <v>0</v>
      </c>
      <c r="AK246" s="1" t="s">
        <v>408</v>
      </c>
      <c r="AL246" s="1">
        <v>2000</v>
      </c>
      <c r="AM246" s="1" t="s">
        <v>2279</v>
      </c>
      <c r="AN246" s="1">
        <v>0</v>
      </c>
      <c r="AO246" s="1" t="s">
        <v>113</v>
      </c>
      <c r="AP246" s="1" t="s">
        <v>106</v>
      </c>
      <c r="AQ246" s="1">
        <v>283580</v>
      </c>
      <c r="AR246" s="1" t="s">
        <v>3184</v>
      </c>
      <c r="AS246" s="1" t="s">
        <v>3185</v>
      </c>
      <c r="AT246" s="1" t="s">
        <v>123</v>
      </c>
      <c r="AU246" s="1" t="s">
        <v>113</v>
      </c>
      <c r="AV246" s="1" t="s">
        <v>113</v>
      </c>
      <c r="AW246" s="1" t="s">
        <v>164</v>
      </c>
      <c r="AX246" s="1" t="s">
        <v>165</v>
      </c>
      <c r="AY246" s="1">
        <v>0</v>
      </c>
      <c r="AZ246" s="1" t="s">
        <v>113</v>
      </c>
      <c r="BA246" s="1" t="s">
        <v>113</v>
      </c>
      <c r="BB246" s="1" t="s">
        <v>125</v>
      </c>
      <c r="BC246" s="1" t="s">
        <v>166</v>
      </c>
      <c r="BD246" s="1">
        <v>0</v>
      </c>
      <c r="BE246" s="1">
        <v>100</v>
      </c>
      <c r="BF246" s="1" t="s">
        <v>167</v>
      </c>
      <c r="BG246" s="1" t="s">
        <v>268</v>
      </c>
      <c r="BH246" s="1" t="s">
        <v>269</v>
      </c>
      <c r="BI246" s="1" t="s">
        <v>269</v>
      </c>
      <c r="BJ246" s="1" t="s">
        <v>208</v>
      </c>
      <c r="BK246" s="1">
        <v>30</v>
      </c>
      <c r="BL246" s="1" t="s">
        <v>270</v>
      </c>
      <c r="BM246" s="1" t="s">
        <v>271</v>
      </c>
      <c r="BN246" s="1">
        <v>10</v>
      </c>
      <c r="BO246" s="1">
        <v>0</v>
      </c>
      <c r="BP246" s="1" t="s">
        <v>115</v>
      </c>
      <c r="BQ246" s="1" t="s">
        <v>388</v>
      </c>
      <c r="BR246" s="1" t="s">
        <v>114</v>
      </c>
      <c r="BS246" s="1" t="s">
        <v>3186</v>
      </c>
      <c r="BT246" s="1" t="s">
        <v>172</v>
      </c>
      <c r="BU246" s="1" t="s">
        <v>132</v>
      </c>
      <c r="BV246" s="1" t="s">
        <v>174</v>
      </c>
      <c r="BW246" s="1" t="s">
        <v>134</v>
      </c>
      <c r="BX246" s="1" t="s">
        <v>114</v>
      </c>
      <c r="BY246" s="1" t="s">
        <v>135</v>
      </c>
      <c r="BZ246" s="1" t="s">
        <v>903</v>
      </c>
      <c r="CA246" s="1">
        <v>1105</v>
      </c>
      <c r="CB246" s="1" t="s">
        <v>244</v>
      </c>
      <c r="CC246" s="1" t="s">
        <v>177</v>
      </c>
      <c r="CF246" s="1">
        <v>269767.15000000002</v>
      </c>
      <c r="CG246" s="6">
        <v>536252.56000000006</v>
      </c>
      <c r="CH246" s="6">
        <v>536252.56000000006</v>
      </c>
      <c r="CI246" s="1">
        <v>370</v>
      </c>
      <c r="CJ246" s="1">
        <v>370</v>
      </c>
      <c r="CK246" s="1">
        <v>550</v>
      </c>
      <c r="CL246" s="1">
        <v>550</v>
      </c>
      <c r="CM246" s="1">
        <v>0</v>
      </c>
      <c r="CN246" s="1">
        <v>0</v>
      </c>
      <c r="CO246" s="1">
        <v>0</v>
      </c>
      <c r="CP246" s="1">
        <v>0</v>
      </c>
      <c r="CQ246" s="1">
        <v>0</v>
      </c>
      <c r="CR246" s="1" t="s">
        <v>139</v>
      </c>
      <c r="CS246" s="1" t="s">
        <v>308</v>
      </c>
      <c r="CT246" s="1" t="s">
        <v>3187</v>
      </c>
      <c r="CV246" s="1" t="s">
        <v>3188</v>
      </c>
      <c r="CW246" s="1" t="s">
        <v>141</v>
      </c>
      <c r="CX246" s="1" t="s">
        <v>3189</v>
      </c>
      <c r="CY246" s="1" t="s">
        <v>276</v>
      </c>
      <c r="CZ246" s="1" t="s">
        <v>144</v>
      </c>
      <c r="DA246" s="1" t="s">
        <v>145</v>
      </c>
    </row>
    <row r="247" spans="1:105" s="3" customFormat="1" ht="11.25" customHeight="1" x14ac:dyDescent="0.2">
      <c r="A247" s="1">
        <v>41</v>
      </c>
      <c r="B247" s="1" t="s">
        <v>3190</v>
      </c>
      <c r="C247" s="1" t="s">
        <v>3191</v>
      </c>
      <c r="D247" s="1">
        <v>13196</v>
      </c>
      <c r="E247" s="2" t="s">
        <v>1688</v>
      </c>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row>
    <row r="248" spans="1:105" s="3" customFormat="1" ht="11.25" customHeight="1" x14ac:dyDescent="0.2">
      <c r="A248" s="1">
        <v>41</v>
      </c>
      <c r="B248" s="1" t="s">
        <v>3192</v>
      </c>
      <c r="C248" s="1" t="s">
        <v>3193</v>
      </c>
      <c r="D248" s="1">
        <v>13473</v>
      </c>
      <c r="E248" s="2" t="s">
        <v>1688</v>
      </c>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6"/>
      <c r="CG248" s="6"/>
      <c r="CH248" s="1"/>
      <c r="CI248" s="1"/>
      <c r="CJ248" s="1"/>
      <c r="CK248" s="1"/>
      <c r="CL248" s="1"/>
      <c r="CM248" s="1"/>
      <c r="CN248" s="1"/>
      <c r="CO248" s="1"/>
      <c r="CP248" s="1"/>
      <c r="CQ248" s="1"/>
      <c r="CR248" s="1"/>
      <c r="CS248" s="1"/>
      <c r="CT248" s="1"/>
      <c r="CU248" s="1"/>
      <c r="CV248" s="1"/>
      <c r="CW248" s="1"/>
      <c r="CX248" s="1"/>
      <c r="CY248" s="1"/>
      <c r="CZ248" s="1"/>
      <c r="DA248" s="1"/>
    </row>
    <row r="249" spans="1:105" s="3" customFormat="1" ht="11.25" customHeight="1" x14ac:dyDescent="0.2">
      <c r="A249" s="1">
        <v>41</v>
      </c>
      <c r="B249" s="1" t="s">
        <v>3195</v>
      </c>
      <c r="C249" s="1" t="s">
        <v>3194</v>
      </c>
      <c r="D249" s="1">
        <v>48207</v>
      </c>
      <c r="E249" s="2" t="s">
        <v>4201</v>
      </c>
      <c r="F249" s="1" t="s">
        <v>113</v>
      </c>
      <c r="G249" s="1" t="s">
        <v>190</v>
      </c>
      <c r="H249" s="1" t="s">
        <v>3196</v>
      </c>
      <c r="I249" s="1" t="s">
        <v>229</v>
      </c>
      <c r="J249" s="1" t="s">
        <v>229</v>
      </c>
      <c r="L249" s="1" t="s">
        <v>149</v>
      </c>
      <c r="M249" s="1" t="s">
        <v>3197</v>
      </c>
      <c r="N249" s="1" t="s">
        <v>1067</v>
      </c>
      <c r="O249" s="1" t="s">
        <v>113</v>
      </c>
      <c r="P249" s="1" t="s">
        <v>113</v>
      </c>
      <c r="Q249" s="1" t="s">
        <v>195</v>
      </c>
      <c r="R249" s="1" t="s">
        <v>3198</v>
      </c>
      <c r="S249" s="1" t="s">
        <v>157</v>
      </c>
      <c r="T249" s="1" t="s">
        <v>113</v>
      </c>
      <c r="U249" s="1" t="s">
        <v>157</v>
      </c>
      <c r="V249" s="1" t="s">
        <v>3199</v>
      </c>
      <c r="W249" s="1" t="s">
        <v>199</v>
      </c>
      <c r="X249" s="1" t="s">
        <v>113</v>
      </c>
      <c r="Y249" s="1" t="s">
        <v>157</v>
      </c>
      <c r="Z249" s="1">
        <v>100</v>
      </c>
      <c r="AA249" s="1" t="s">
        <v>132</v>
      </c>
      <c r="AB249" s="1" t="s">
        <v>128</v>
      </c>
      <c r="AC249" s="1" t="s">
        <v>384</v>
      </c>
      <c r="AD249" s="1">
        <v>100</v>
      </c>
      <c r="AE249" s="1" t="s">
        <v>132</v>
      </c>
      <c r="AF249" s="1">
        <v>950</v>
      </c>
      <c r="AG249" s="1" t="s">
        <v>106</v>
      </c>
      <c r="AH249" s="1">
        <v>36</v>
      </c>
      <c r="AI249" s="1">
        <v>31</v>
      </c>
      <c r="AJ249" s="1">
        <v>32</v>
      </c>
      <c r="AK249" s="1" t="s">
        <v>408</v>
      </c>
      <c r="AL249" s="1">
        <v>5000</v>
      </c>
      <c r="AM249" s="1" t="s">
        <v>3200</v>
      </c>
      <c r="AN249" s="1">
        <v>5000</v>
      </c>
      <c r="AO249" s="1" t="s">
        <v>113</v>
      </c>
      <c r="AP249" s="1" t="s">
        <v>113</v>
      </c>
      <c r="AQ249" s="1">
        <v>318565</v>
      </c>
      <c r="AR249" s="1" t="s">
        <v>3201</v>
      </c>
      <c r="AS249" s="1" t="s">
        <v>3202</v>
      </c>
      <c r="AT249" s="1" t="s">
        <v>123</v>
      </c>
      <c r="AU249" s="1" t="s">
        <v>106</v>
      </c>
      <c r="AV249" s="1" t="s">
        <v>106</v>
      </c>
      <c r="AW249" s="1" t="s">
        <v>164</v>
      </c>
      <c r="AX249" s="1" t="s">
        <v>165</v>
      </c>
      <c r="AY249" s="5" t="s">
        <v>3203</v>
      </c>
      <c r="AZ249" s="1" t="s">
        <v>113</v>
      </c>
      <c r="BA249" s="1" t="s">
        <v>113</v>
      </c>
      <c r="BB249" s="1" t="s">
        <v>125</v>
      </c>
      <c r="BC249" s="1" t="s">
        <v>166</v>
      </c>
      <c r="BD249" s="1">
        <v>0</v>
      </c>
      <c r="BE249" s="1">
        <v>100</v>
      </c>
      <c r="BF249" s="1" t="s">
        <v>167</v>
      </c>
      <c r="BG249" s="1" t="s">
        <v>268</v>
      </c>
      <c r="BH249" s="1" t="s">
        <v>269</v>
      </c>
      <c r="BI249" s="1" t="s">
        <v>269</v>
      </c>
      <c r="BJ249" s="1" t="s">
        <v>208</v>
      </c>
      <c r="BK249" s="1">
        <v>80</v>
      </c>
      <c r="BL249" s="1" t="s">
        <v>270</v>
      </c>
      <c r="BM249" s="1" t="s">
        <v>210</v>
      </c>
      <c r="BN249" s="1">
        <v>12</v>
      </c>
      <c r="BO249" s="1">
        <v>0</v>
      </c>
      <c r="BP249" s="1" t="s">
        <v>124</v>
      </c>
      <c r="BQ249" s="1" t="s">
        <v>693</v>
      </c>
      <c r="BR249" s="1" t="s">
        <v>3204</v>
      </c>
      <c r="BS249" s="1" t="s">
        <v>3205</v>
      </c>
      <c r="BT249" s="1" t="s">
        <v>172</v>
      </c>
      <c r="BU249" s="1" t="s">
        <v>239</v>
      </c>
      <c r="BV249" s="1" t="s">
        <v>2256</v>
      </c>
      <c r="BW249" s="1" t="s">
        <v>134</v>
      </c>
      <c r="BX249" s="1" t="s">
        <v>137</v>
      </c>
      <c r="BY249" s="1" t="s">
        <v>299</v>
      </c>
      <c r="BZ249" s="1" t="s">
        <v>3206</v>
      </c>
      <c r="CA249" s="1">
        <v>980</v>
      </c>
      <c r="CB249" s="1" t="s">
        <v>244</v>
      </c>
      <c r="CC249" s="1" t="s">
        <v>3207</v>
      </c>
      <c r="CD249" s="1" t="s">
        <v>3208</v>
      </c>
      <c r="CE249" s="1" t="s">
        <v>219</v>
      </c>
      <c r="CF249" s="1">
        <v>168155.63</v>
      </c>
      <c r="CG249" s="6">
        <v>595771.96</v>
      </c>
      <c r="CH249" s="6">
        <v>2447365.65</v>
      </c>
      <c r="CI249" s="6">
        <v>519766.75</v>
      </c>
      <c r="CJ249" s="6">
        <v>2403860.7999999998</v>
      </c>
      <c r="CK249" s="6">
        <v>329969.14</v>
      </c>
      <c r="CL249" s="5" t="s">
        <v>3203</v>
      </c>
      <c r="CM249" s="5" t="s">
        <v>3209</v>
      </c>
      <c r="CN249" s="5" t="s">
        <v>3210</v>
      </c>
      <c r="CO249" s="5" t="s">
        <v>3209</v>
      </c>
      <c r="CP249" s="5" t="s">
        <v>3209</v>
      </c>
      <c r="CQ249" s="5" t="s">
        <v>3209</v>
      </c>
      <c r="CR249" s="1" t="s">
        <v>139</v>
      </c>
      <c r="CS249" s="1" t="s">
        <v>140</v>
      </c>
      <c r="CT249" s="1" t="s">
        <v>3211</v>
      </c>
      <c r="CU249" s="1" t="s">
        <v>460</v>
      </c>
      <c r="CV249" s="1" t="s">
        <v>3212</v>
      </c>
      <c r="CW249" s="1" t="s">
        <v>251</v>
      </c>
      <c r="CX249" s="1" t="s">
        <v>114</v>
      </c>
      <c r="CY249" s="1" t="s">
        <v>143</v>
      </c>
      <c r="CZ249" s="1" t="s">
        <v>144</v>
      </c>
      <c r="DA249" s="1" t="s">
        <v>145</v>
      </c>
    </row>
    <row r="250" spans="1:105" s="3" customFormat="1" ht="11.25" customHeight="1" x14ac:dyDescent="0.2">
      <c r="A250" s="1">
        <v>41</v>
      </c>
      <c r="B250" s="1" t="s">
        <v>3214</v>
      </c>
      <c r="C250" s="1" t="s">
        <v>3213</v>
      </c>
      <c r="D250" s="1">
        <v>49891</v>
      </c>
      <c r="E250" s="2" t="s">
        <v>4201</v>
      </c>
      <c r="F250" s="1" t="s">
        <v>113</v>
      </c>
      <c r="H250" s="1" t="s">
        <v>976</v>
      </c>
      <c r="I250" s="1" t="s">
        <v>193</v>
      </c>
      <c r="J250" s="1" t="s">
        <v>229</v>
      </c>
      <c r="L250" s="1" t="s">
        <v>111</v>
      </c>
      <c r="M250" s="1" t="s">
        <v>115</v>
      </c>
      <c r="N250" s="1" t="s">
        <v>3215</v>
      </c>
      <c r="O250" s="1" t="s">
        <v>106</v>
      </c>
      <c r="P250" s="1" t="s">
        <v>113</v>
      </c>
      <c r="Q250" s="1" t="s">
        <v>152</v>
      </c>
      <c r="R250" s="1" t="s">
        <v>564</v>
      </c>
      <c r="S250" s="1" t="s">
        <v>3216</v>
      </c>
      <c r="T250" s="1" t="s">
        <v>113</v>
      </c>
      <c r="U250" s="1" t="s">
        <v>564</v>
      </c>
      <c r="W250" s="1" t="s">
        <v>115</v>
      </c>
      <c r="X250" s="1" t="s">
        <v>113</v>
      </c>
      <c r="Z250" s="1">
        <v>100</v>
      </c>
      <c r="AA250" s="1" t="s">
        <v>132</v>
      </c>
      <c r="AB250" s="1" t="s">
        <v>117</v>
      </c>
      <c r="AC250" s="1" t="s">
        <v>118</v>
      </c>
      <c r="AD250" s="1">
        <v>25</v>
      </c>
      <c r="AE250" s="1" t="s">
        <v>132</v>
      </c>
      <c r="AF250" s="1">
        <v>9930</v>
      </c>
      <c r="AG250" s="1" t="s">
        <v>113</v>
      </c>
      <c r="AH250" s="1">
        <v>0</v>
      </c>
      <c r="AI250" s="1">
        <v>0</v>
      </c>
      <c r="AJ250" s="1">
        <v>0</v>
      </c>
      <c r="AK250" s="1" t="s">
        <v>648</v>
      </c>
      <c r="AM250" s="1" t="s">
        <v>143</v>
      </c>
      <c r="AO250" s="1" t="s">
        <v>113</v>
      </c>
      <c r="AP250" s="1" t="s">
        <v>113</v>
      </c>
      <c r="AQ250" s="1" t="s">
        <v>976</v>
      </c>
      <c r="AR250" s="1" t="s">
        <v>976</v>
      </c>
      <c r="AS250" s="1" t="s">
        <v>976</v>
      </c>
      <c r="AT250" s="1" t="s">
        <v>123</v>
      </c>
      <c r="AU250" s="1" t="s">
        <v>106</v>
      </c>
      <c r="AV250" s="1" t="s">
        <v>113</v>
      </c>
      <c r="AW250" s="1" t="s">
        <v>164</v>
      </c>
      <c r="AX250" s="1" t="s">
        <v>165</v>
      </c>
      <c r="AY250" s="1">
        <v>0</v>
      </c>
      <c r="AZ250" s="1" t="s">
        <v>113</v>
      </c>
      <c r="BA250" s="1" t="s">
        <v>113</v>
      </c>
      <c r="BB250" s="1" t="s">
        <v>125</v>
      </c>
      <c r="BD250" s="1">
        <v>0</v>
      </c>
      <c r="BE250" s="1">
        <v>100</v>
      </c>
      <c r="BF250" s="1" t="s">
        <v>1165</v>
      </c>
      <c r="BG250" s="1" t="s">
        <v>132</v>
      </c>
      <c r="BI250" s="1" t="s">
        <v>569</v>
      </c>
      <c r="BJ250" s="1" t="s">
        <v>208</v>
      </c>
      <c r="BK250" s="1">
        <v>25</v>
      </c>
      <c r="BL250" s="1" t="s">
        <v>294</v>
      </c>
      <c r="BM250" s="1" t="s">
        <v>472</v>
      </c>
      <c r="BN250" s="1">
        <v>73</v>
      </c>
      <c r="BP250" s="1" t="s">
        <v>124</v>
      </c>
      <c r="BQ250" s="1" t="s">
        <v>976</v>
      </c>
      <c r="BR250" s="1" t="s">
        <v>3217</v>
      </c>
      <c r="BS250" s="1" t="s">
        <v>3218</v>
      </c>
      <c r="BT250" s="1" t="s">
        <v>172</v>
      </c>
      <c r="BU250" s="1" t="s">
        <v>132</v>
      </c>
      <c r="BV250" s="1" t="s">
        <v>2500</v>
      </c>
      <c r="BW250" s="1" t="s">
        <v>298</v>
      </c>
      <c r="BX250" s="1" t="s">
        <v>325</v>
      </c>
      <c r="BY250" s="1" t="s">
        <v>454</v>
      </c>
      <c r="BZ250" s="1" t="s">
        <v>3219</v>
      </c>
      <c r="CA250" s="1">
        <v>10202</v>
      </c>
      <c r="CB250" s="1" t="s">
        <v>176</v>
      </c>
      <c r="CC250" s="1" t="s">
        <v>496</v>
      </c>
      <c r="CD250" s="1" t="s">
        <v>3220</v>
      </c>
      <c r="CE250" s="1" t="s">
        <v>478</v>
      </c>
      <c r="CF250" s="1">
        <v>2113065.9700000002</v>
      </c>
      <c r="CG250" s="1">
        <v>4044735.82</v>
      </c>
      <c r="CH250" s="1">
        <v>243.12</v>
      </c>
      <c r="CI250" s="1">
        <v>0</v>
      </c>
      <c r="CJ250" s="1">
        <v>134.44</v>
      </c>
      <c r="CK250" s="1">
        <v>1185.8</v>
      </c>
      <c r="CL250" s="1" t="s">
        <v>3221</v>
      </c>
      <c r="CM250" s="1">
        <v>0</v>
      </c>
      <c r="CN250" s="1">
        <v>0</v>
      </c>
      <c r="CO250" s="1">
        <v>0</v>
      </c>
      <c r="CP250" s="1">
        <v>0</v>
      </c>
      <c r="CQ250" s="1">
        <v>0</v>
      </c>
      <c r="CR250" s="1" t="s">
        <v>139</v>
      </c>
      <c r="CS250" s="1" t="s">
        <v>140</v>
      </c>
      <c r="CT250" s="1" t="s">
        <v>282</v>
      </c>
      <c r="CV250" s="1" t="s">
        <v>788</v>
      </c>
      <c r="CW250" s="1" t="s">
        <v>251</v>
      </c>
      <c r="CX250" s="1" t="s">
        <v>143</v>
      </c>
      <c r="CY250" s="1" t="s">
        <v>143</v>
      </c>
      <c r="CZ250" s="1" t="s">
        <v>144</v>
      </c>
      <c r="DA250" s="1" t="s">
        <v>145</v>
      </c>
    </row>
    <row r="251" spans="1:105" s="3" customFormat="1" ht="11.25" customHeight="1" x14ac:dyDescent="0.2">
      <c r="A251" s="1">
        <v>41</v>
      </c>
      <c r="B251" s="1" t="s">
        <v>3223</v>
      </c>
      <c r="C251" s="1" t="s">
        <v>3222</v>
      </c>
      <c r="D251" s="1">
        <v>34806</v>
      </c>
      <c r="E251" s="2" t="s">
        <v>4201</v>
      </c>
      <c r="F251" s="1" t="s">
        <v>113</v>
      </c>
      <c r="G251" s="1" t="s">
        <v>190</v>
      </c>
      <c r="H251" s="1" t="s">
        <v>829</v>
      </c>
      <c r="I251" s="1" t="s">
        <v>229</v>
      </c>
      <c r="J251" s="1" t="s">
        <v>229</v>
      </c>
      <c r="L251" s="1" t="s">
        <v>111</v>
      </c>
      <c r="M251" s="1" t="s">
        <v>111</v>
      </c>
      <c r="N251" s="1" t="s">
        <v>2360</v>
      </c>
      <c r="O251" s="1" t="s">
        <v>113</v>
      </c>
      <c r="P251" s="1" t="s">
        <v>113</v>
      </c>
      <c r="Q251" s="1" t="s">
        <v>3224</v>
      </c>
      <c r="R251" s="1" t="s">
        <v>114</v>
      </c>
      <c r="S251" s="1" t="s">
        <v>114</v>
      </c>
      <c r="T251" s="1" t="s">
        <v>106</v>
      </c>
      <c r="U251" s="1" t="s">
        <v>114</v>
      </c>
      <c r="V251" s="1" t="s">
        <v>3225</v>
      </c>
      <c r="W251" s="1" t="s">
        <v>115</v>
      </c>
      <c r="X251" s="1" t="s">
        <v>113</v>
      </c>
      <c r="Y251" s="1" t="s">
        <v>114</v>
      </c>
      <c r="Z251" s="1">
        <v>100</v>
      </c>
      <c r="AA251" s="1" t="s">
        <v>132</v>
      </c>
      <c r="AB251" s="1" t="s">
        <v>117</v>
      </c>
      <c r="AC251" s="1" t="s">
        <v>118</v>
      </c>
      <c r="AD251" s="1">
        <v>20</v>
      </c>
      <c r="AE251" s="1" t="s">
        <v>132</v>
      </c>
      <c r="AF251" s="1">
        <v>6000</v>
      </c>
      <c r="AG251" s="1" t="s">
        <v>113</v>
      </c>
      <c r="AH251" s="1">
        <v>0</v>
      </c>
      <c r="AI251" s="1">
        <v>0</v>
      </c>
      <c r="AJ251" s="1">
        <v>0</v>
      </c>
      <c r="AK251" s="1" t="s">
        <v>119</v>
      </c>
      <c r="AL251" s="1">
        <v>0</v>
      </c>
      <c r="AM251" s="1" t="s">
        <v>3226</v>
      </c>
      <c r="AN251" s="1">
        <v>0</v>
      </c>
      <c r="AO251" s="1" t="s">
        <v>113</v>
      </c>
      <c r="AP251" s="1" t="s">
        <v>113</v>
      </c>
      <c r="AQ251" s="1" t="s">
        <v>114</v>
      </c>
      <c r="AR251" s="1" t="s">
        <v>114</v>
      </c>
      <c r="AS251" s="1" t="s">
        <v>114</v>
      </c>
      <c r="AT251" s="1" t="s">
        <v>123</v>
      </c>
      <c r="AU251" s="1" t="s">
        <v>113</v>
      </c>
      <c r="AV251" s="1" t="s">
        <v>113</v>
      </c>
      <c r="AW251" s="1" t="s">
        <v>124</v>
      </c>
      <c r="AX251" s="1" t="s">
        <v>165</v>
      </c>
      <c r="AY251" s="1">
        <v>0</v>
      </c>
      <c r="AZ251" s="1" t="s">
        <v>113</v>
      </c>
      <c r="BA251" s="1" t="s">
        <v>113</v>
      </c>
      <c r="BB251" s="1" t="s">
        <v>125</v>
      </c>
      <c r="BC251" s="1" t="s">
        <v>166</v>
      </c>
      <c r="BD251" s="1">
        <v>0</v>
      </c>
      <c r="BE251" s="1">
        <v>100</v>
      </c>
      <c r="BF251" s="1" t="s">
        <v>167</v>
      </c>
      <c r="BG251" s="1" t="s">
        <v>132</v>
      </c>
      <c r="BJ251" s="1" t="s">
        <v>208</v>
      </c>
      <c r="BK251" s="1">
        <v>20</v>
      </c>
      <c r="BL251" s="1" t="s">
        <v>167</v>
      </c>
      <c r="BM251" s="1" t="s">
        <v>472</v>
      </c>
      <c r="BN251" s="1">
        <v>0</v>
      </c>
      <c r="BO251" s="1">
        <v>0</v>
      </c>
      <c r="BP251" s="1" t="s">
        <v>115</v>
      </c>
      <c r="BQ251" s="1" t="s">
        <v>2137</v>
      </c>
      <c r="BR251" s="1" t="s">
        <v>3227</v>
      </c>
      <c r="BS251" s="1" t="s">
        <v>3228</v>
      </c>
      <c r="BT251" s="1" t="s">
        <v>172</v>
      </c>
      <c r="BU251" s="1" t="s">
        <v>132</v>
      </c>
      <c r="BV251" s="1" t="s">
        <v>275</v>
      </c>
      <c r="BW251" s="1" t="s">
        <v>134</v>
      </c>
      <c r="BX251" s="1" t="s">
        <v>137</v>
      </c>
      <c r="BY251" s="1" t="s">
        <v>135</v>
      </c>
      <c r="BZ251" s="1" t="s">
        <v>1400</v>
      </c>
      <c r="CA251" s="1">
        <v>6000</v>
      </c>
      <c r="CB251" s="1" t="s">
        <v>176</v>
      </c>
      <c r="CC251" s="1" t="s">
        <v>217</v>
      </c>
      <c r="CD251" s="1" t="s">
        <v>127</v>
      </c>
      <c r="CE251" s="1" t="s">
        <v>219</v>
      </c>
      <c r="CF251" s="1">
        <v>319701921</v>
      </c>
      <c r="CG251" s="1">
        <v>457000000</v>
      </c>
      <c r="CH251" s="1">
        <v>392</v>
      </c>
      <c r="CI251" s="1">
        <v>0</v>
      </c>
      <c r="CJ251" s="1">
        <v>19854</v>
      </c>
      <c r="CK251" s="1">
        <v>260</v>
      </c>
      <c r="CL251" s="1">
        <v>0</v>
      </c>
      <c r="CM251" s="1">
        <v>19854</v>
      </c>
      <c r="CN251" s="1">
        <v>0</v>
      </c>
      <c r="CO251" s="1">
        <v>0</v>
      </c>
      <c r="CP251" s="1">
        <v>0</v>
      </c>
      <c r="CQ251" s="1">
        <v>0</v>
      </c>
      <c r="CR251" s="1" t="s">
        <v>139</v>
      </c>
      <c r="CS251" s="1" t="s">
        <v>140</v>
      </c>
      <c r="CT251" s="1" t="s">
        <v>746</v>
      </c>
      <c r="CW251" s="1" t="s">
        <v>141</v>
      </c>
      <c r="CX251" s="1" t="s">
        <v>3229</v>
      </c>
      <c r="CY251" s="1" t="s">
        <v>114</v>
      </c>
      <c r="CZ251" s="1" t="s">
        <v>144</v>
      </c>
      <c r="DA251" s="1" t="s">
        <v>145</v>
      </c>
    </row>
    <row r="252" spans="1:105" s="3" customFormat="1" ht="11.25" customHeight="1" x14ac:dyDescent="0.2">
      <c r="A252" s="1">
        <v>41</v>
      </c>
      <c r="B252" s="1" t="s">
        <v>3231</v>
      </c>
      <c r="C252" s="1" t="s">
        <v>3230</v>
      </c>
      <c r="D252" s="1">
        <v>12967</v>
      </c>
      <c r="E252" s="2" t="s">
        <v>4201</v>
      </c>
      <c r="F252" s="1" t="s">
        <v>106</v>
      </c>
      <c r="G252" s="1" t="s">
        <v>398</v>
      </c>
      <c r="H252" s="1" t="s">
        <v>3232</v>
      </c>
      <c r="I252" s="1" t="s">
        <v>229</v>
      </c>
      <c r="J252" s="1" t="s">
        <v>113</v>
      </c>
      <c r="L252" s="1" t="s">
        <v>111</v>
      </c>
      <c r="M252" s="1" t="s">
        <v>111</v>
      </c>
      <c r="N252" s="1" t="s">
        <v>112</v>
      </c>
      <c r="O252" s="1" t="s">
        <v>113</v>
      </c>
      <c r="P252" s="1" t="s">
        <v>113</v>
      </c>
      <c r="Q252" s="1" t="s">
        <v>1298</v>
      </c>
      <c r="R252" s="1" t="s">
        <v>3233</v>
      </c>
      <c r="S252" s="1" t="s">
        <v>3234</v>
      </c>
      <c r="T252" s="1" t="s">
        <v>113</v>
      </c>
      <c r="U252" s="1" t="s">
        <v>157</v>
      </c>
      <c r="V252" s="1" t="s">
        <v>3235</v>
      </c>
      <c r="W252" s="1" t="s">
        <v>199</v>
      </c>
      <c r="X252" s="1" t="s">
        <v>113</v>
      </c>
      <c r="Y252" s="1" t="s">
        <v>157</v>
      </c>
      <c r="Z252" s="1">
        <v>100</v>
      </c>
      <c r="AA252" s="1" t="s">
        <v>116</v>
      </c>
      <c r="AB252" s="1" t="s">
        <v>158</v>
      </c>
      <c r="AC252" s="1" t="s">
        <v>118</v>
      </c>
      <c r="AD252" s="1">
        <v>40</v>
      </c>
      <c r="AE252" s="1" t="s">
        <v>116</v>
      </c>
      <c r="AF252" s="1">
        <v>180</v>
      </c>
      <c r="AG252" s="1" t="s">
        <v>106</v>
      </c>
      <c r="AH252" s="1">
        <v>50</v>
      </c>
      <c r="AI252" s="1">
        <v>0</v>
      </c>
      <c r="AJ252" s="1">
        <v>40</v>
      </c>
      <c r="AK252" s="1" t="s">
        <v>530</v>
      </c>
      <c r="AL252" s="1">
        <v>0</v>
      </c>
      <c r="AM252" s="1" t="s">
        <v>131</v>
      </c>
      <c r="AN252" s="1">
        <v>0</v>
      </c>
      <c r="AO252" s="1" t="s">
        <v>113</v>
      </c>
      <c r="AP252" s="1" t="s">
        <v>113</v>
      </c>
      <c r="AQ252" s="1" t="s">
        <v>157</v>
      </c>
      <c r="AR252" s="1" t="s">
        <v>157</v>
      </c>
      <c r="AS252" s="1" t="s">
        <v>157</v>
      </c>
      <c r="AT252" s="1" t="s">
        <v>123</v>
      </c>
      <c r="AU252" s="1" t="s">
        <v>113</v>
      </c>
      <c r="AV252" s="1" t="s">
        <v>113</v>
      </c>
      <c r="AW252" s="1" t="s">
        <v>164</v>
      </c>
      <c r="AX252" s="1" t="s">
        <v>165</v>
      </c>
      <c r="AY252" s="1">
        <v>0</v>
      </c>
      <c r="AZ252" s="1" t="s">
        <v>106</v>
      </c>
      <c r="BA252" s="1" t="s">
        <v>113</v>
      </c>
      <c r="BB252" s="1" t="s">
        <v>125</v>
      </c>
      <c r="BD252" s="1">
        <v>0</v>
      </c>
      <c r="BE252" s="1">
        <v>100</v>
      </c>
      <c r="BF252" s="1" t="s">
        <v>630</v>
      </c>
      <c r="BG252" s="1" t="s">
        <v>116</v>
      </c>
      <c r="BH252" s="1" t="s">
        <v>450</v>
      </c>
      <c r="BJ252" s="1" t="s">
        <v>208</v>
      </c>
      <c r="BK252" s="1">
        <v>0</v>
      </c>
      <c r="BL252" s="1" t="s">
        <v>270</v>
      </c>
      <c r="BM252" s="1" t="s">
        <v>210</v>
      </c>
      <c r="BN252" s="1" t="s">
        <v>276</v>
      </c>
      <c r="BP252" s="1" t="s">
        <v>947</v>
      </c>
      <c r="BQ252" s="1" t="s">
        <v>3230</v>
      </c>
      <c r="BR252" s="1" t="s">
        <v>157</v>
      </c>
      <c r="BS252" s="1" t="s">
        <v>157</v>
      </c>
      <c r="BT252" s="1" t="s">
        <v>1635</v>
      </c>
      <c r="BU252" s="1" t="s">
        <v>239</v>
      </c>
      <c r="BV252" s="1" t="s">
        <v>694</v>
      </c>
      <c r="BW252" s="1" t="s">
        <v>298</v>
      </c>
      <c r="BX252" s="1" t="s">
        <v>325</v>
      </c>
      <c r="BY252" s="1" t="s">
        <v>299</v>
      </c>
      <c r="BZ252" s="1" t="s">
        <v>157</v>
      </c>
      <c r="CA252" s="1">
        <v>180</v>
      </c>
      <c r="CB252" s="1" t="s">
        <v>176</v>
      </c>
      <c r="CC252" s="1" t="s">
        <v>177</v>
      </c>
      <c r="CF252" s="1">
        <v>204000</v>
      </c>
      <c r="CG252" s="1">
        <v>739080</v>
      </c>
      <c r="CH252" s="1">
        <v>396000</v>
      </c>
      <c r="CI252" s="5" t="s">
        <v>2272</v>
      </c>
      <c r="CJ252" s="5" t="s">
        <v>2272</v>
      </c>
      <c r="CK252" s="5" t="s">
        <v>1365</v>
      </c>
      <c r="CL252" s="5" t="s">
        <v>2272</v>
      </c>
      <c r="CM252" s="5" t="s">
        <v>1365</v>
      </c>
      <c r="CN252" s="5" t="s">
        <v>1365</v>
      </c>
      <c r="CO252" s="5" t="s">
        <v>1365</v>
      </c>
      <c r="CP252" s="5" t="s">
        <v>1365</v>
      </c>
      <c r="CQ252" s="5" t="s">
        <v>1365</v>
      </c>
      <c r="CR252" s="1" t="s">
        <v>180</v>
      </c>
      <c r="CS252" s="1" t="s">
        <v>140</v>
      </c>
      <c r="CT252" s="1" t="s">
        <v>573</v>
      </c>
      <c r="CW252" s="1" t="s">
        <v>251</v>
      </c>
      <c r="CX252" s="1" t="s">
        <v>157</v>
      </c>
      <c r="CY252" s="1" t="s">
        <v>276</v>
      </c>
      <c r="CZ252" s="1" t="s">
        <v>144</v>
      </c>
      <c r="DA252" s="1" t="s">
        <v>145</v>
      </c>
    </row>
    <row r="253" spans="1:105" s="3" customFormat="1" ht="11.25" customHeight="1" x14ac:dyDescent="0.2">
      <c r="A253" s="1">
        <v>41</v>
      </c>
      <c r="B253" s="1" t="s">
        <v>3236</v>
      </c>
      <c r="C253" s="1" t="s">
        <v>604</v>
      </c>
      <c r="D253" s="1">
        <v>36623</v>
      </c>
      <c r="E253" s="2" t="s">
        <v>4201</v>
      </c>
      <c r="F253" s="1" t="s">
        <v>106</v>
      </c>
      <c r="G253" s="1" t="s">
        <v>603</v>
      </c>
      <c r="H253" s="1" t="s">
        <v>2786</v>
      </c>
      <c r="I253" s="1" t="s">
        <v>3237</v>
      </c>
      <c r="J253" s="1" t="s">
        <v>113</v>
      </c>
      <c r="L253" s="1" t="s">
        <v>111</v>
      </c>
      <c r="M253" s="1" t="s">
        <v>111</v>
      </c>
      <c r="N253" s="1" t="s">
        <v>151</v>
      </c>
      <c r="O253" s="1" t="s">
        <v>113</v>
      </c>
      <c r="P253" s="1" t="s">
        <v>113</v>
      </c>
      <c r="Q253" s="1" t="s">
        <v>195</v>
      </c>
      <c r="R253" s="1" t="s">
        <v>3238</v>
      </c>
      <c r="S253" s="1" t="s">
        <v>114</v>
      </c>
      <c r="T253" s="1" t="s">
        <v>106</v>
      </c>
      <c r="U253" s="1" t="s">
        <v>3239</v>
      </c>
      <c r="V253" s="1" t="s">
        <v>3240</v>
      </c>
      <c r="W253" s="1" t="s">
        <v>115</v>
      </c>
      <c r="X253" s="1" t="s">
        <v>113</v>
      </c>
      <c r="Y253" s="1" t="s">
        <v>114</v>
      </c>
      <c r="Z253" s="1">
        <v>0</v>
      </c>
      <c r="AA253" s="1" t="s">
        <v>132</v>
      </c>
      <c r="AB253" s="1" t="s">
        <v>128</v>
      </c>
      <c r="AC253" s="1" t="s">
        <v>128</v>
      </c>
      <c r="AD253" s="1">
        <v>0</v>
      </c>
      <c r="AE253" s="1" t="s">
        <v>132</v>
      </c>
      <c r="AF253" s="1">
        <v>0</v>
      </c>
      <c r="AG253" s="1" t="s">
        <v>113</v>
      </c>
      <c r="AH253" s="1">
        <v>0</v>
      </c>
      <c r="AI253" s="1">
        <v>0</v>
      </c>
      <c r="AJ253" s="1">
        <v>0</v>
      </c>
      <c r="AK253" s="1" t="s">
        <v>119</v>
      </c>
      <c r="AM253" s="1" t="s">
        <v>3241</v>
      </c>
      <c r="AP253" s="1" t="s">
        <v>113</v>
      </c>
      <c r="AQ253" s="1" t="s">
        <v>114</v>
      </c>
      <c r="AR253" s="1" t="s">
        <v>114</v>
      </c>
      <c r="AS253" s="1" t="s">
        <v>114</v>
      </c>
      <c r="AT253" s="1" t="s">
        <v>628</v>
      </c>
      <c r="AU253" s="1" t="s">
        <v>113</v>
      </c>
      <c r="AV253" s="1" t="s">
        <v>113</v>
      </c>
      <c r="AW253" s="1" t="s">
        <v>164</v>
      </c>
      <c r="AX253" s="1" t="s">
        <v>165</v>
      </c>
      <c r="AY253" s="1">
        <v>0</v>
      </c>
      <c r="AZ253" s="1" t="s">
        <v>113</v>
      </c>
      <c r="BA253" s="1" t="s">
        <v>113</v>
      </c>
      <c r="BB253" s="1" t="s">
        <v>125</v>
      </c>
      <c r="BC253" s="1" t="s">
        <v>166</v>
      </c>
      <c r="BD253" s="1">
        <v>0</v>
      </c>
      <c r="BE253" s="1">
        <v>100</v>
      </c>
      <c r="BF253" s="1" t="s">
        <v>630</v>
      </c>
      <c r="BG253" s="1" t="s">
        <v>1188</v>
      </c>
      <c r="BH253" s="1" t="s">
        <v>169</v>
      </c>
      <c r="BI253" s="1" t="s">
        <v>169</v>
      </c>
      <c r="BJ253" s="1" t="s">
        <v>208</v>
      </c>
      <c r="BK253" s="1">
        <v>65</v>
      </c>
      <c r="BL253" s="1" t="s">
        <v>294</v>
      </c>
      <c r="BM253" s="1" t="s">
        <v>3242</v>
      </c>
      <c r="BN253" s="1">
        <v>7</v>
      </c>
      <c r="BP253" s="1" t="s">
        <v>124</v>
      </c>
      <c r="BQ253" s="1" t="s">
        <v>143</v>
      </c>
      <c r="BR253" s="1" t="s">
        <v>3243</v>
      </c>
      <c r="BS253" s="1" t="s">
        <v>3244</v>
      </c>
      <c r="BT253" s="1" t="s">
        <v>172</v>
      </c>
      <c r="BU253" s="1" t="s">
        <v>239</v>
      </c>
      <c r="BV253" s="1" t="s">
        <v>3245</v>
      </c>
      <c r="BW253" s="1" t="s">
        <v>134</v>
      </c>
      <c r="BX253" s="1" t="s">
        <v>325</v>
      </c>
      <c r="BY253" s="1" t="s">
        <v>135</v>
      </c>
      <c r="BZ253" s="1" t="s">
        <v>3246</v>
      </c>
      <c r="CA253" s="1">
        <v>0</v>
      </c>
      <c r="CB253" s="1" t="s">
        <v>176</v>
      </c>
      <c r="CC253" s="1" t="s">
        <v>658</v>
      </c>
      <c r="CD253" s="1" t="s">
        <v>3247</v>
      </c>
      <c r="CE253" s="1" t="s">
        <v>3248</v>
      </c>
      <c r="CF253" s="1">
        <v>4206049</v>
      </c>
      <c r="CG253" s="1">
        <v>2875225</v>
      </c>
      <c r="CH253" s="1">
        <v>0</v>
      </c>
      <c r="CI253" s="1">
        <v>0</v>
      </c>
      <c r="CJ253" s="1">
        <v>0</v>
      </c>
      <c r="CK253" s="1">
        <v>533202</v>
      </c>
      <c r="CL253" s="1">
        <v>0</v>
      </c>
      <c r="CM253" s="1">
        <v>0</v>
      </c>
      <c r="CN253" s="1">
        <v>0</v>
      </c>
      <c r="CO253" s="1">
        <v>0</v>
      </c>
      <c r="CP253" s="1">
        <v>0</v>
      </c>
      <c r="CQ253" s="1">
        <v>0</v>
      </c>
      <c r="CR253" s="1" t="s">
        <v>180</v>
      </c>
      <c r="CS253" s="1" t="s">
        <v>140</v>
      </c>
      <c r="CT253" s="1" t="s">
        <v>1309</v>
      </c>
      <c r="CW253" s="1" t="s">
        <v>284</v>
      </c>
      <c r="CX253" s="1" t="s">
        <v>3249</v>
      </c>
      <c r="CY253" s="1" t="s">
        <v>143</v>
      </c>
      <c r="CZ253" s="1" t="s">
        <v>144</v>
      </c>
      <c r="DA253" s="1" t="s">
        <v>145</v>
      </c>
    </row>
    <row r="254" spans="1:105" s="3" customFormat="1" ht="11.25" customHeight="1" x14ac:dyDescent="0.2">
      <c r="A254" s="3">
        <v>41</v>
      </c>
      <c r="B254" s="3" t="s">
        <v>3250</v>
      </c>
      <c r="C254" s="3" t="s">
        <v>3251</v>
      </c>
      <c r="D254" s="3">
        <v>13749</v>
      </c>
      <c r="E254" s="2" t="s">
        <v>1688</v>
      </c>
      <c r="F254" s="1"/>
      <c r="G254" s="1"/>
      <c r="H254" s="1"/>
      <c r="I254" s="1"/>
      <c r="J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P254" s="1"/>
      <c r="BQ254" s="1"/>
      <c r="BR254" s="1"/>
      <c r="BS254" s="1"/>
      <c r="BT254" s="1"/>
      <c r="BU254" s="1"/>
      <c r="BV254" s="1"/>
      <c r="BW254" s="1"/>
      <c r="BX254" s="1"/>
      <c r="BY254" s="1"/>
      <c r="BZ254" s="1"/>
      <c r="CA254" s="1"/>
      <c r="CB254" s="1"/>
      <c r="CC254" s="1"/>
      <c r="CE254" s="1"/>
      <c r="CF254" s="1"/>
      <c r="CG254" s="1"/>
      <c r="CH254" s="1"/>
      <c r="CI254" s="1"/>
      <c r="CJ254" s="1"/>
      <c r="CK254" s="1"/>
      <c r="CL254" s="1"/>
      <c r="CM254" s="1"/>
      <c r="CN254" s="1"/>
      <c r="CO254" s="1"/>
      <c r="CP254" s="1"/>
      <c r="CQ254" s="1"/>
      <c r="CR254" s="1"/>
      <c r="CS254" s="1"/>
      <c r="CT254" s="1"/>
      <c r="CV254" s="1"/>
      <c r="CW254" s="1"/>
      <c r="CX254" s="1"/>
      <c r="CY254" s="1"/>
      <c r="CZ254" s="1"/>
      <c r="DA254" s="1"/>
    </row>
    <row r="255" spans="1:105" s="3" customFormat="1" ht="11.25" customHeight="1" x14ac:dyDescent="0.2">
      <c r="A255" s="1">
        <v>41</v>
      </c>
      <c r="B255" s="1" t="s">
        <v>3252</v>
      </c>
      <c r="C255" s="1" t="s">
        <v>1665</v>
      </c>
      <c r="D255" s="1">
        <v>13802</v>
      </c>
      <c r="E255" s="2" t="s">
        <v>1688</v>
      </c>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V255" s="1"/>
      <c r="CW255" s="1"/>
      <c r="CX255" s="1"/>
      <c r="CY255" s="1"/>
      <c r="CZ255" s="1"/>
      <c r="DA255" s="1"/>
    </row>
    <row r="256" spans="1:105" s="3" customFormat="1" ht="11.25" customHeight="1" x14ac:dyDescent="0.2">
      <c r="A256" s="1">
        <v>41</v>
      </c>
      <c r="B256" s="1" t="s">
        <v>3253</v>
      </c>
      <c r="C256" s="1" t="s">
        <v>3254</v>
      </c>
      <c r="D256" s="1">
        <v>13804</v>
      </c>
      <c r="E256" s="2" t="s">
        <v>1688</v>
      </c>
      <c r="F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5"/>
      <c r="CP256" s="5"/>
      <c r="CQ256" s="5"/>
      <c r="CR256" s="1"/>
      <c r="CS256" s="1"/>
      <c r="CT256" s="1"/>
      <c r="CU256" s="1"/>
      <c r="CV256" s="1"/>
      <c r="CW256" s="1"/>
      <c r="CX256" s="1"/>
      <c r="CY256" s="1"/>
      <c r="CZ256" s="1"/>
      <c r="DA256" s="1"/>
    </row>
    <row r="257" spans="1:105" s="3" customFormat="1" ht="11.25" customHeight="1" x14ac:dyDescent="0.2">
      <c r="A257" s="1">
        <v>41</v>
      </c>
      <c r="B257" s="1" t="s">
        <v>3255</v>
      </c>
      <c r="C257" s="1" t="s">
        <v>3256</v>
      </c>
      <c r="D257" s="1">
        <v>13814</v>
      </c>
      <c r="E257" s="2" t="s">
        <v>1688</v>
      </c>
      <c r="F257" s="1"/>
      <c r="G257" s="1"/>
      <c r="H257" s="1"/>
      <c r="I257" s="1"/>
      <c r="J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5"/>
      <c r="BO257" s="1"/>
      <c r="BP257" s="1"/>
      <c r="BQ257" s="1"/>
      <c r="BR257" s="1"/>
      <c r="BS257" s="1"/>
      <c r="BT257" s="1"/>
      <c r="BU257" s="1"/>
      <c r="BV257" s="1"/>
      <c r="BW257" s="1"/>
      <c r="BX257" s="1"/>
      <c r="BY257" s="1"/>
      <c r="BZ257" s="1"/>
      <c r="CA257" s="1"/>
      <c r="CB257" s="1"/>
      <c r="CC257" s="1"/>
      <c r="CD257" s="1"/>
      <c r="CF257" s="1"/>
      <c r="CG257" s="1"/>
      <c r="CH257" s="1"/>
      <c r="CI257" s="1"/>
      <c r="CJ257" s="1"/>
      <c r="CK257" s="1"/>
      <c r="CL257" s="1"/>
      <c r="CM257" s="1"/>
      <c r="CN257" s="1"/>
      <c r="CO257" s="1"/>
      <c r="CP257" s="1"/>
      <c r="CQ257" s="1"/>
      <c r="CR257" s="1"/>
      <c r="CS257" s="1"/>
      <c r="CT257" s="1"/>
      <c r="CV257" s="1"/>
      <c r="CW257" s="1"/>
      <c r="CX257" s="1"/>
      <c r="CY257" s="1"/>
      <c r="CZ257" s="1"/>
      <c r="DA257" s="1"/>
    </row>
    <row r="258" spans="1:105" s="3" customFormat="1" ht="11.25" customHeight="1" x14ac:dyDescent="0.2">
      <c r="A258" s="1">
        <v>41</v>
      </c>
      <c r="B258" s="1" t="s">
        <v>3258</v>
      </c>
      <c r="C258" s="1" t="s">
        <v>3257</v>
      </c>
      <c r="D258" s="1">
        <v>13634</v>
      </c>
      <c r="E258" s="2" t="s">
        <v>4201</v>
      </c>
      <c r="F258" s="1" t="s">
        <v>106</v>
      </c>
      <c r="G258" s="1" t="s">
        <v>3259</v>
      </c>
      <c r="H258" s="1" t="s">
        <v>3260</v>
      </c>
      <c r="I258" s="1" t="s">
        <v>3261</v>
      </c>
      <c r="J258" s="1" t="s">
        <v>229</v>
      </c>
      <c r="L258" s="1" t="s">
        <v>111</v>
      </c>
      <c r="M258" s="1" t="s">
        <v>736</v>
      </c>
      <c r="N258" s="1" t="s">
        <v>940</v>
      </c>
      <c r="O258" s="1" t="s">
        <v>106</v>
      </c>
      <c r="P258" s="1" t="s">
        <v>106</v>
      </c>
      <c r="Q258" s="1" t="s">
        <v>111</v>
      </c>
      <c r="R258" s="1" t="s">
        <v>745</v>
      </c>
      <c r="S258" s="1" t="s">
        <v>745</v>
      </c>
      <c r="T258" s="1" t="s">
        <v>106</v>
      </c>
      <c r="U258" s="1" t="s">
        <v>3262</v>
      </c>
      <c r="V258" s="1" t="s">
        <v>3263</v>
      </c>
      <c r="W258" s="1" t="s">
        <v>755</v>
      </c>
      <c r="X258" s="1" t="s">
        <v>106</v>
      </c>
      <c r="Y258" s="1" t="s">
        <v>3264</v>
      </c>
      <c r="Z258" s="1">
        <v>100</v>
      </c>
      <c r="AA258" s="1" t="s">
        <v>116</v>
      </c>
      <c r="AB258" s="1" t="s">
        <v>128</v>
      </c>
      <c r="AC258" s="1" t="s">
        <v>118</v>
      </c>
      <c r="AD258" s="1">
        <v>50</v>
      </c>
      <c r="AE258" s="1" t="s">
        <v>116</v>
      </c>
      <c r="AF258" s="1">
        <v>6005.7</v>
      </c>
      <c r="AG258" s="1" t="s">
        <v>106</v>
      </c>
      <c r="AH258" s="1">
        <v>67</v>
      </c>
      <c r="AI258" s="1">
        <v>11</v>
      </c>
      <c r="AJ258" s="1">
        <v>22</v>
      </c>
      <c r="AK258" s="1" t="s">
        <v>119</v>
      </c>
      <c r="AL258" s="1">
        <v>0</v>
      </c>
      <c r="AM258" s="1" t="s">
        <v>3265</v>
      </c>
      <c r="AO258" s="1" t="s">
        <v>113</v>
      </c>
      <c r="AP258" s="1" t="s">
        <v>113</v>
      </c>
      <c r="AQ258" s="1" t="s">
        <v>745</v>
      </c>
      <c r="AR258" s="1" t="s">
        <v>745</v>
      </c>
      <c r="AS258" s="1" t="s">
        <v>745</v>
      </c>
      <c r="AT258" s="1" t="s">
        <v>204</v>
      </c>
      <c r="AU258" s="1" t="s">
        <v>106</v>
      </c>
      <c r="AV258" s="1" t="s">
        <v>113</v>
      </c>
      <c r="AW258" s="1" t="s">
        <v>234</v>
      </c>
      <c r="AX258" s="1" t="s">
        <v>206</v>
      </c>
      <c r="AY258" s="1">
        <v>25</v>
      </c>
      <c r="AZ258" s="1" t="s">
        <v>113</v>
      </c>
      <c r="BA258" s="1" t="s">
        <v>113</v>
      </c>
      <c r="BB258" s="1" t="s">
        <v>125</v>
      </c>
      <c r="BC258" s="1" t="s">
        <v>206</v>
      </c>
      <c r="BD258" s="1">
        <v>0</v>
      </c>
      <c r="BE258" s="1">
        <v>100</v>
      </c>
      <c r="BF258" s="1" t="s">
        <v>167</v>
      </c>
      <c r="BG258" s="1" t="s">
        <v>268</v>
      </c>
      <c r="BH258" s="1" t="s">
        <v>169</v>
      </c>
      <c r="BI258" s="1" t="s">
        <v>169</v>
      </c>
      <c r="BJ258" s="1" t="s">
        <v>384</v>
      </c>
      <c r="BK258" s="1">
        <v>100</v>
      </c>
      <c r="BL258" s="1" t="s">
        <v>167</v>
      </c>
      <c r="BM258" s="1" t="s">
        <v>271</v>
      </c>
      <c r="BN258" s="1">
        <v>17</v>
      </c>
      <c r="BO258" s="1">
        <v>6</v>
      </c>
      <c r="BP258" s="1" t="s">
        <v>124</v>
      </c>
      <c r="BQ258" s="1" t="s">
        <v>948</v>
      </c>
      <c r="BR258" s="1" t="s">
        <v>3266</v>
      </c>
      <c r="BS258" s="1" t="s">
        <v>3267</v>
      </c>
      <c r="BT258" s="1" t="s">
        <v>172</v>
      </c>
      <c r="BU258" s="1" t="s">
        <v>239</v>
      </c>
      <c r="BV258" s="1" t="s">
        <v>3268</v>
      </c>
      <c r="BW258" s="1" t="s">
        <v>134</v>
      </c>
      <c r="BX258" s="1" t="s">
        <v>3269</v>
      </c>
      <c r="BY258" s="1" t="s">
        <v>241</v>
      </c>
      <c r="BZ258" s="1" t="s">
        <v>3270</v>
      </c>
      <c r="CA258" s="1" t="s">
        <v>3271</v>
      </c>
      <c r="CB258" s="1" t="s">
        <v>244</v>
      </c>
      <c r="CC258" s="1" t="s">
        <v>1192</v>
      </c>
      <c r="CD258" s="1" t="s">
        <v>3272</v>
      </c>
      <c r="CE258" s="1" t="s">
        <v>1194</v>
      </c>
      <c r="CF258" s="6">
        <v>709472.13</v>
      </c>
      <c r="CG258" s="1" t="s">
        <v>3058</v>
      </c>
      <c r="CH258" s="1" t="s">
        <v>3058</v>
      </c>
      <c r="CI258" s="1">
        <v>0</v>
      </c>
      <c r="CJ258" s="1" t="s">
        <v>3058</v>
      </c>
      <c r="CK258" s="1" t="s">
        <v>3058</v>
      </c>
      <c r="CL258" s="1">
        <v>10</v>
      </c>
      <c r="CM258" s="1">
        <v>10</v>
      </c>
      <c r="CN258" s="1">
        <v>0</v>
      </c>
      <c r="CO258" s="1">
        <v>0</v>
      </c>
      <c r="CP258" s="1">
        <v>0</v>
      </c>
      <c r="CQ258" s="1">
        <v>0</v>
      </c>
      <c r="CR258" s="1" t="s">
        <v>3273</v>
      </c>
      <c r="CS258" s="1" t="s">
        <v>327</v>
      </c>
      <c r="CT258" s="1" t="s">
        <v>3274</v>
      </c>
      <c r="CU258" s="1" t="s">
        <v>460</v>
      </c>
      <c r="CV258" s="1" t="s">
        <v>3275</v>
      </c>
      <c r="CW258" s="1" t="s">
        <v>251</v>
      </c>
      <c r="CX258" s="1" t="s">
        <v>745</v>
      </c>
      <c r="CY258" s="1" t="s">
        <v>143</v>
      </c>
      <c r="CZ258" s="1" t="s">
        <v>144</v>
      </c>
      <c r="DA258" s="1" t="s">
        <v>145</v>
      </c>
    </row>
    <row r="259" spans="1:105" s="3" customFormat="1" ht="11.25" customHeight="1" x14ac:dyDescent="0.2">
      <c r="A259" s="1">
        <v>41</v>
      </c>
      <c r="B259" s="1" t="s">
        <v>3277</v>
      </c>
      <c r="C259" s="1" t="s">
        <v>3276</v>
      </c>
      <c r="D259" s="1">
        <v>9597</v>
      </c>
      <c r="E259" s="2" t="s">
        <v>4201</v>
      </c>
      <c r="F259" s="1" t="s">
        <v>113</v>
      </c>
      <c r="G259" s="1" t="s">
        <v>190</v>
      </c>
      <c r="H259" s="1" t="s">
        <v>745</v>
      </c>
      <c r="I259" s="1" t="s">
        <v>193</v>
      </c>
      <c r="J259" s="1" t="s">
        <v>229</v>
      </c>
      <c r="L259" s="1" t="s">
        <v>111</v>
      </c>
      <c r="M259" s="1" t="s">
        <v>745</v>
      </c>
      <c r="N259" s="1" t="s">
        <v>3171</v>
      </c>
      <c r="O259" s="1" t="s">
        <v>113</v>
      </c>
      <c r="P259" s="1" t="s">
        <v>113</v>
      </c>
      <c r="Q259" s="1" t="s">
        <v>195</v>
      </c>
      <c r="R259" s="1" t="s">
        <v>3278</v>
      </c>
      <c r="S259" s="1" t="s">
        <v>2209</v>
      </c>
      <c r="T259" s="1" t="s">
        <v>113</v>
      </c>
      <c r="U259" s="1" t="s">
        <v>745</v>
      </c>
      <c r="W259" s="1" t="s">
        <v>115</v>
      </c>
      <c r="X259" s="1" t="s">
        <v>113</v>
      </c>
      <c r="Z259" s="1">
        <v>100</v>
      </c>
      <c r="AA259" s="1" t="s">
        <v>116</v>
      </c>
      <c r="AB259" s="1" t="s">
        <v>158</v>
      </c>
      <c r="AC259" s="1" t="s">
        <v>118</v>
      </c>
      <c r="AD259" s="1">
        <v>100</v>
      </c>
      <c r="AE259" s="1" t="s">
        <v>116</v>
      </c>
      <c r="AF259" s="1">
        <v>2000</v>
      </c>
      <c r="AG259" s="1" t="s">
        <v>113</v>
      </c>
      <c r="AH259" s="1">
        <v>20</v>
      </c>
      <c r="AI259" s="1">
        <v>20</v>
      </c>
      <c r="AJ259" s="1">
        <v>20</v>
      </c>
      <c r="AK259" s="1" t="s">
        <v>232</v>
      </c>
      <c r="AM259" s="1" t="s">
        <v>363</v>
      </c>
      <c r="AP259" s="1" t="s">
        <v>106</v>
      </c>
      <c r="AQ259" s="1" t="s">
        <v>745</v>
      </c>
      <c r="AR259" s="1" t="s">
        <v>3279</v>
      </c>
      <c r="AS259" s="1" t="s">
        <v>3279</v>
      </c>
      <c r="AT259" s="1" t="s">
        <v>123</v>
      </c>
      <c r="AU259" s="1" t="s">
        <v>113</v>
      </c>
      <c r="AV259" s="1" t="s">
        <v>113</v>
      </c>
      <c r="AW259" s="1" t="s">
        <v>124</v>
      </c>
      <c r="AX259" s="1" t="s">
        <v>1594</v>
      </c>
      <c r="AY259" s="1">
        <v>1000</v>
      </c>
      <c r="AZ259" s="1" t="s">
        <v>113</v>
      </c>
      <c r="BA259" s="1" t="s">
        <v>113</v>
      </c>
      <c r="BB259" s="1" t="s">
        <v>125</v>
      </c>
      <c r="BC259" s="1" t="s">
        <v>1594</v>
      </c>
      <c r="BD259" s="1">
        <v>100</v>
      </c>
      <c r="BE259" s="1">
        <v>100</v>
      </c>
      <c r="BF259" s="1" t="s">
        <v>167</v>
      </c>
      <c r="BG259" s="1" t="s">
        <v>116</v>
      </c>
      <c r="BH259" s="1" t="s">
        <v>269</v>
      </c>
      <c r="BJ259" s="1" t="s">
        <v>208</v>
      </c>
      <c r="BK259" s="1">
        <v>100</v>
      </c>
      <c r="BL259" s="1" t="s">
        <v>167</v>
      </c>
      <c r="BN259" s="1" t="s">
        <v>276</v>
      </c>
      <c r="BP259" s="1" t="s">
        <v>124</v>
      </c>
      <c r="BQ259" s="1" t="s">
        <v>3280</v>
      </c>
      <c r="BR259" s="1" t="s">
        <v>709</v>
      </c>
      <c r="BS259" s="1" t="s">
        <v>709</v>
      </c>
      <c r="BT259" s="1" t="s">
        <v>172</v>
      </c>
      <c r="BU259" s="1" t="s">
        <v>132</v>
      </c>
      <c r="BV259" s="1" t="s">
        <v>1741</v>
      </c>
      <c r="BW259" s="1" t="s">
        <v>134</v>
      </c>
      <c r="BX259" s="1" t="s">
        <v>3281</v>
      </c>
      <c r="BY259" s="1" t="s">
        <v>135</v>
      </c>
      <c r="BZ259" s="1" t="s">
        <v>276</v>
      </c>
      <c r="CA259" s="1">
        <v>2000</v>
      </c>
      <c r="CB259" s="1" t="s">
        <v>244</v>
      </c>
      <c r="CC259" s="1" t="s">
        <v>177</v>
      </c>
      <c r="CF259" s="1" t="s">
        <v>719</v>
      </c>
      <c r="CG259" s="1" t="s">
        <v>719</v>
      </c>
      <c r="CH259" s="1" t="s">
        <v>276</v>
      </c>
      <c r="CI259" s="1" t="s">
        <v>276</v>
      </c>
      <c r="CJ259" s="1" t="s">
        <v>276</v>
      </c>
      <c r="CK259" s="1" t="s">
        <v>276</v>
      </c>
      <c r="CL259" s="1">
        <v>0</v>
      </c>
      <c r="CM259" s="1">
        <v>0</v>
      </c>
      <c r="CN259" s="1">
        <v>0</v>
      </c>
      <c r="CO259" s="1">
        <v>0</v>
      </c>
      <c r="CP259" s="1">
        <v>0</v>
      </c>
      <c r="CQ259" s="1">
        <v>0</v>
      </c>
      <c r="CR259" s="1" t="s">
        <v>139</v>
      </c>
      <c r="CS259" s="1" t="s">
        <v>140</v>
      </c>
      <c r="CT259" s="1" t="s">
        <v>573</v>
      </c>
      <c r="CV259" s="1" t="s">
        <v>439</v>
      </c>
      <c r="CW259" s="1" t="s">
        <v>420</v>
      </c>
      <c r="CX259" s="1" t="s">
        <v>276</v>
      </c>
      <c r="CY259" s="1" t="s">
        <v>276</v>
      </c>
      <c r="CZ259" s="1" t="s">
        <v>144</v>
      </c>
      <c r="DA259" s="1" t="s">
        <v>145</v>
      </c>
    </row>
    <row r="260" spans="1:105" s="3" customFormat="1" ht="11.25" customHeight="1" x14ac:dyDescent="0.2">
      <c r="A260" s="1">
        <v>41</v>
      </c>
      <c r="B260" s="1" t="s">
        <v>3282</v>
      </c>
      <c r="C260" s="1" t="s">
        <v>2977</v>
      </c>
      <c r="D260" s="1">
        <v>149819</v>
      </c>
      <c r="E260" s="2" t="s">
        <v>4201</v>
      </c>
      <c r="F260" s="1" t="s">
        <v>113</v>
      </c>
      <c r="G260" s="1" t="s">
        <v>190</v>
      </c>
      <c r="H260" s="1" t="s">
        <v>3283</v>
      </c>
      <c r="I260" s="1" t="s">
        <v>229</v>
      </c>
      <c r="J260" s="1" t="s">
        <v>229</v>
      </c>
      <c r="L260" s="1" t="s">
        <v>111</v>
      </c>
      <c r="M260" s="1" t="s">
        <v>1157</v>
      </c>
      <c r="N260" s="1" t="s">
        <v>3284</v>
      </c>
      <c r="O260" s="1" t="s">
        <v>113</v>
      </c>
      <c r="P260" s="1" t="s">
        <v>113</v>
      </c>
      <c r="Q260" s="1" t="s">
        <v>195</v>
      </c>
      <c r="R260" s="1" t="s">
        <v>3285</v>
      </c>
      <c r="S260" s="1" t="s">
        <v>290</v>
      </c>
      <c r="T260" s="1" t="s">
        <v>106</v>
      </c>
      <c r="U260" s="1" t="s">
        <v>290</v>
      </c>
      <c r="V260" s="1" t="s">
        <v>3286</v>
      </c>
      <c r="W260" s="1" t="s">
        <v>115</v>
      </c>
      <c r="X260" s="1" t="s">
        <v>113</v>
      </c>
      <c r="Y260" s="1" t="s">
        <v>290</v>
      </c>
      <c r="Z260" s="1">
        <v>100</v>
      </c>
      <c r="AA260" s="1" t="s">
        <v>132</v>
      </c>
      <c r="AB260" s="1" t="s">
        <v>128</v>
      </c>
      <c r="AC260" s="1" t="s">
        <v>118</v>
      </c>
      <c r="AD260" s="1">
        <v>90</v>
      </c>
      <c r="AE260" s="1" t="s">
        <v>132</v>
      </c>
      <c r="AF260" s="1">
        <v>54700</v>
      </c>
      <c r="AG260" s="1" t="s">
        <v>113</v>
      </c>
      <c r="AH260" s="1">
        <v>50</v>
      </c>
      <c r="AI260" s="1">
        <v>30</v>
      </c>
      <c r="AJ260" s="1">
        <v>0</v>
      </c>
      <c r="AK260" s="1" t="s">
        <v>232</v>
      </c>
      <c r="AL260" s="1">
        <v>0</v>
      </c>
      <c r="AM260" s="1" t="s">
        <v>172</v>
      </c>
      <c r="AO260" s="1" t="s">
        <v>113</v>
      </c>
      <c r="AP260" s="1" t="s">
        <v>106</v>
      </c>
      <c r="AQ260" s="1" t="s">
        <v>861</v>
      </c>
      <c r="AR260" s="1" t="s">
        <v>3287</v>
      </c>
      <c r="AS260" s="1" t="s">
        <v>3288</v>
      </c>
      <c r="AT260" s="1" t="s">
        <v>628</v>
      </c>
      <c r="AU260" s="1" t="s">
        <v>113</v>
      </c>
      <c r="AV260" s="1" t="s">
        <v>106</v>
      </c>
      <c r="AW260" s="1" t="s">
        <v>629</v>
      </c>
      <c r="AX260" s="1" t="s">
        <v>206</v>
      </c>
      <c r="AY260" s="1">
        <v>0</v>
      </c>
      <c r="AZ260" s="1" t="s">
        <v>113</v>
      </c>
      <c r="BA260" s="1" t="s">
        <v>113</v>
      </c>
      <c r="BB260" s="1" t="s">
        <v>125</v>
      </c>
      <c r="BC260" s="1" t="s">
        <v>166</v>
      </c>
      <c r="BD260" s="1">
        <v>0</v>
      </c>
      <c r="BE260" s="1">
        <v>90</v>
      </c>
      <c r="BF260" s="1" t="s">
        <v>630</v>
      </c>
      <c r="BG260" s="1" t="s">
        <v>132</v>
      </c>
      <c r="BH260" s="1" t="s">
        <v>168</v>
      </c>
      <c r="BI260" s="1" t="s">
        <v>710</v>
      </c>
      <c r="BJ260" s="1" t="s">
        <v>208</v>
      </c>
      <c r="BK260" s="1">
        <v>35</v>
      </c>
      <c r="BL260" s="1" t="s">
        <v>270</v>
      </c>
      <c r="BM260" s="1" t="s">
        <v>472</v>
      </c>
      <c r="BN260" s="1" t="s">
        <v>276</v>
      </c>
      <c r="BO260" s="1" t="s">
        <v>652</v>
      </c>
      <c r="BP260" s="1" t="s">
        <v>124</v>
      </c>
      <c r="BQ260" s="1" t="s">
        <v>290</v>
      </c>
      <c r="BR260" s="1" t="s">
        <v>3289</v>
      </c>
      <c r="BS260" s="1" t="s">
        <v>3290</v>
      </c>
      <c r="BT260" s="1" t="s">
        <v>1635</v>
      </c>
      <c r="BU260" s="1" t="s">
        <v>132</v>
      </c>
      <c r="BV260" s="1" t="s">
        <v>2936</v>
      </c>
      <c r="BW260" s="1" t="s">
        <v>134</v>
      </c>
      <c r="BX260" s="1" t="s">
        <v>135</v>
      </c>
      <c r="BY260" s="1" t="s">
        <v>135</v>
      </c>
      <c r="BZ260" s="1" t="s">
        <v>290</v>
      </c>
      <c r="CA260" s="1">
        <v>54700</v>
      </c>
      <c r="CB260" s="1" t="s">
        <v>216</v>
      </c>
      <c r="CC260" s="1" t="s">
        <v>217</v>
      </c>
      <c r="CD260" s="1">
        <v>2023</v>
      </c>
      <c r="CE260" s="1" t="s">
        <v>660</v>
      </c>
      <c r="CF260" s="1">
        <v>15000000</v>
      </c>
      <c r="CG260" s="1">
        <v>52000000</v>
      </c>
      <c r="CH260" s="1">
        <v>170</v>
      </c>
      <c r="CI260" s="1" t="s">
        <v>290</v>
      </c>
      <c r="CJ260" s="1">
        <v>170</v>
      </c>
      <c r="CK260" s="1" t="s">
        <v>290</v>
      </c>
      <c r="CL260" s="1">
        <v>0</v>
      </c>
      <c r="CM260" s="1">
        <v>0</v>
      </c>
      <c r="CN260" s="1">
        <v>0</v>
      </c>
      <c r="CO260" s="1">
        <v>0</v>
      </c>
      <c r="CP260" s="1">
        <v>0</v>
      </c>
      <c r="CQ260" s="1">
        <v>0</v>
      </c>
      <c r="CR260" s="1" t="s">
        <v>139</v>
      </c>
      <c r="CS260" s="1" t="s">
        <v>140</v>
      </c>
      <c r="CT260" s="1" t="s">
        <v>3291</v>
      </c>
      <c r="CU260" s="1" t="s">
        <v>617</v>
      </c>
      <c r="CV260" s="1" t="s">
        <v>3292</v>
      </c>
      <c r="CW260" s="1" t="s">
        <v>3293</v>
      </c>
      <c r="CX260" s="1" t="s">
        <v>3294</v>
      </c>
      <c r="CY260" s="1" t="s">
        <v>652</v>
      </c>
      <c r="CZ260" s="1" t="s">
        <v>144</v>
      </c>
      <c r="DA260" s="1" t="s">
        <v>145</v>
      </c>
    </row>
    <row r="261" spans="1:105" s="3" customFormat="1" ht="11.25" customHeight="1" x14ac:dyDescent="0.2">
      <c r="A261" s="1">
        <v>41</v>
      </c>
      <c r="B261" s="1" t="s">
        <v>3296</v>
      </c>
      <c r="C261" s="1" t="s">
        <v>3295</v>
      </c>
      <c r="D261" s="1">
        <v>2378</v>
      </c>
      <c r="E261" s="2" t="s">
        <v>4201</v>
      </c>
      <c r="F261" s="1" t="s">
        <v>106</v>
      </c>
      <c r="G261" s="1" t="s">
        <v>254</v>
      </c>
      <c r="H261" s="1" t="s">
        <v>3260</v>
      </c>
      <c r="I261" s="1" t="s">
        <v>109</v>
      </c>
      <c r="J261" s="1" t="s">
        <v>106</v>
      </c>
      <c r="K261" s="1" t="s">
        <v>1623</v>
      </c>
      <c r="L261" s="1" t="s">
        <v>111</v>
      </c>
      <c r="M261" s="1" t="s">
        <v>230</v>
      </c>
      <c r="N261" s="1" t="s">
        <v>2020</v>
      </c>
      <c r="O261" s="1" t="s">
        <v>113</v>
      </c>
      <c r="P261" s="1" t="s">
        <v>113</v>
      </c>
      <c r="Q261" s="1" t="s">
        <v>195</v>
      </c>
      <c r="R261" s="1" t="s">
        <v>3297</v>
      </c>
      <c r="S261" s="1" t="s">
        <v>3297</v>
      </c>
      <c r="T261" s="1" t="s">
        <v>106</v>
      </c>
      <c r="U261" s="1" t="s">
        <v>3298</v>
      </c>
      <c r="V261" s="1" t="s">
        <v>3299</v>
      </c>
      <c r="W261" s="1" t="s">
        <v>115</v>
      </c>
      <c r="X261" s="1" t="s">
        <v>113</v>
      </c>
      <c r="Y261" s="1" t="s">
        <v>114</v>
      </c>
      <c r="Z261" s="1">
        <v>100</v>
      </c>
      <c r="AA261" s="1" t="s">
        <v>116</v>
      </c>
      <c r="AB261" s="1" t="s">
        <v>128</v>
      </c>
      <c r="AC261" s="1" t="s">
        <v>128</v>
      </c>
      <c r="AD261" s="1">
        <v>0</v>
      </c>
      <c r="AE261" s="1" t="s">
        <v>3300</v>
      </c>
      <c r="AF261" s="1">
        <v>213</v>
      </c>
      <c r="AG261" s="1" t="s">
        <v>113</v>
      </c>
      <c r="AH261" s="1">
        <v>0</v>
      </c>
      <c r="AI261" s="1">
        <v>0</v>
      </c>
      <c r="AJ261" s="1">
        <v>0</v>
      </c>
      <c r="AK261" s="1" t="s">
        <v>119</v>
      </c>
      <c r="AL261" s="1">
        <v>0</v>
      </c>
      <c r="AM261" s="1" t="s">
        <v>590</v>
      </c>
      <c r="AN261" s="1">
        <v>0</v>
      </c>
      <c r="AO261" s="1" t="s">
        <v>113</v>
      </c>
      <c r="AP261" s="1" t="s">
        <v>106</v>
      </c>
      <c r="AQ261" s="1" t="s">
        <v>3301</v>
      </c>
      <c r="AR261" s="1" t="s">
        <v>3302</v>
      </c>
      <c r="AS261" s="1" t="s">
        <v>3303</v>
      </c>
      <c r="AT261" s="1" t="s">
        <v>123</v>
      </c>
      <c r="AU261" s="1" t="s">
        <v>113</v>
      </c>
      <c r="AV261" s="1" t="s">
        <v>113</v>
      </c>
      <c r="AW261" s="1" t="s">
        <v>234</v>
      </c>
      <c r="AX261" s="1" t="s">
        <v>2429</v>
      </c>
      <c r="AY261" s="1">
        <v>0</v>
      </c>
      <c r="AZ261" s="1" t="s">
        <v>113</v>
      </c>
      <c r="BA261" s="1" t="s">
        <v>113</v>
      </c>
      <c r="BB261" s="1" t="s">
        <v>125</v>
      </c>
      <c r="BC261" s="1" t="s">
        <v>166</v>
      </c>
      <c r="BD261" s="1">
        <v>0</v>
      </c>
      <c r="BE261" s="1">
        <v>100</v>
      </c>
      <c r="BF261" s="1" t="s">
        <v>167</v>
      </c>
      <c r="BG261" s="1" t="s">
        <v>383</v>
      </c>
      <c r="BH261" s="1" t="s">
        <v>269</v>
      </c>
      <c r="BI261" s="1" t="s">
        <v>269</v>
      </c>
      <c r="BJ261" s="1" t="s">
        <v>128</v>
      </c>
      <c r="BK261" s="1">
        <v>0</v>
      </c>
      <c r="BL261" s="1" t="s">
        <v>127</v>
      </c>
      <c r="BM261" s="1" t="s">
        <v>114</v>
      </c>
      <c r="BN261" s="1">
        <v>13</v>
      </c>
      <c r="BO261" s="1">
        <v>0</v>
      </c>
      <c r="BP261" s="1" t="s">
        <v>115</v>
      </c>
      <c r="BQ261" s="1" t="s">
        <v>1623</v>
      </c>
      <c r="BR261" s="1" t="s">
        <v>3303</v>
      </c>
      <c r="BS261" s="1" t="s">
        <v>3304</v>
      </c>
      <c r="BT261" s="1" t="s">
        <v>172</v>
      </c>
      <c r="BU261" s="1" t="s">
        <v>173</v>
      </c>
      <c r="BV261" s="1" t="s">
        <v>3305</v>
      </c>
      <c r="BW261" s="1" t="s">
        <v>134</v>
      </c>
      <c r="BX261" s="1" t="s">
        <v>127</v>
      </c>
      <c r="BY261" s="1" t="s">
        <v>135</v>
      </c>
      <c r="BZ261" s="1" t="s">
        <v>2013</v>
      </c>
      <c r="CA261" s="1">
        <v>213</v>
      </c>
      <c r="CB261" s="1" t="s">
        <v>244</v>
      </c>
      <c r="CC261" s="1" t="s">
        <v>217</v>
      </c>
      <c r="CD261" s="1" t="s">
        <v>3306</v>
      </c>
      <c r="CE261" s="1" t="s">
        <v>478</v>
      </c>
      <c r="CF261" s="4">
        <v>31389</v>
      </c>
      <c r="CG261" s="4">
        <v>179862</v>
      </c>
      <c r="CH261" s="1">
        <v>0</v>
      </c>
      <c r="CI261" s="4">
        <v>74556</v>
      </c>
      <c r="CJ261" s="4">
        <v>74556</v>
      </c>
      <c r="CK261" s="4">
        <v>350127</v>
      </c>
      <c r="CL261" s="4">
        <v>350127</v>
      </c>
      <c r="CM261" s="1">
        <v>0</v>
      </c>
      <c r="CN261" s="1">
        <v>0</v>
      </c>
      <c r="CO261" s="1">
        <v>0</v>
      </c>
      <c r="CP261" s="1">
        <v>0</v>
      </c>
      <c r="CQ261" s="1">
        <v>0</v>
      </c>
      <c r="CS261" s="1" t="s">
        <v>140</v>
      </c>
      <c r="CT261" s="1" t="s">
        <v>394</v>
      </c>
      <c r="CV261" s="1" t="s">
        <v>2691</v>
      </c>
      <c r="CW261" s="1" t="s">
        <v>420</v>
      </c>
      <c r="CX261" s="1" t="s">
        <v>3307</v>
      </c>
      <c r="CY261" s="1" t="s">
        <v>143</v>
      </c>
      <c r="CZ261" s="1" t="s">
        <v>144</v>
      </c>
      <c r="DA261" s="1" t="s">
        <v>145</v>
      </c>
    </row>
    <row r="262" spans="1:105" s="3" customFormat="1" ht="11.25" customHeight="1" x14ac:dyDescent="0.2">
      <c r="A262" s="1">
        <v>41</v>
      </c>
      <c r="B262" s="1" t="s">
        <v>3308</v>
      </c>
      <c r="C262" s="1" t="s">
        <v>3309</v>
      </c>
      <c r="D262" s="1">
        <v>14214</v>
      </c>
      <c r="E262" s="2" t="s">
        <v>1688</v>
      </c>
      <c r="F262" s="1"/>
      <c r="G262" s="1"/>
      <c r="H262" s="1"/>
      <c r="I262" s="1"/>
      <c r="J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P262" s="1"/>
      <c r="BQ262" s="1"/>
      <c r="BR262" s="1"/>
      <c r="BS262" s="1"/>
      <c r="BT262" s="1"/>
      <c r="BU262" s="1"/>
      <c r="BV262" s="1"/>
      <c r="BW262" s="1"/>
      <c r="BX262" s="1"/>
      <c r="BY262" s="1"/>
      <c r="BZ262" s="1"/>
      <c r="CA262" s="1"/>
      <c r="CB262" s="1"/>
      <c r="CC262" s="1"/>
      <c r="CF262" s="1"/>
      <c r="CG262" s="1"/>
      <c r="CH262" s="1"/>
      <c r="CI262" s="1"/>
      <c r="CJ262" s="1"/>
      <c r="CK262" s="1"/>
      <c r="CL262" s="1"/>
      <c r="CM262" s="1"/>
      <c r="CN262" s="1"/>
      <c r="CO262" s="1"/>
      <c r="CP262" s="1"/>
      <c r="CQ262" s="1"/>
      <c r="CR262" s="1"/>
      <c r="CS262" s="1"/>
      <c r="CT262" s="1"/>
      <c r="CV262" s="1"/>
      <c r="CW262" s="1"/>
      <c r="CX262" s="1"/>
      <c r="CY262" s="1"/>
      <c r="CZ262" s="1"/>
      <c r="DA262" s="1"/>
    </row>
    <row r="263" spans="1:105" s="3" customFormat="1" ht="11.25" customHeight="1" x14ac:dyDescent="0.2">
      <c r="A263" s="1">
        <v>41</v>
      </c>
      <c r="B263" s="1" t="s">
        <v>3310</v>
      </c>
      <c r="C263" s="1" t="s">
        <v>255</v>
      </c>
      <c r="D263" s="1">
        <v>95525</v>
      </c>
      <c r="E263" s="2" t="s">
        <v>4201</v>
      </c>
      <c r="F263" s="1" t="s">
        <v>106</v>
      </c>
      <c r="G263" s="1" t="s">
        <v>254</v>
      </c>
      <c r="H263" s="1" t="s">
        <v>255</v>
      </c>
      <c r="I263" s="1" t="s">
        <v>109</v>
      </c>
      <c r="J263" s="1" t="s">
        <v>113</v>
      </c>
      <c r="K263" s="1" t="s">
        <v>255</v>
      </c>
      <c r="L263" s="1" t="s">
        <v>149</v>
      </c>
      <c r="M263" s="1" t="s">
        <v>3311</v>
      </c>
      <c r="N263" s="1" t="s">
        <v>335</v>
      </c>
      <c r="O263" s="1" t="s">
        <v>113</v>
      </c>
      <c r="P263" s="1" t="s">
        <v>113</v>
      </c>
      <c r="Q263" s="1" t="s">
        <v>1298</v>
      </c>
      <c r="R263" s="1" t="s">
        <v>3312</v>
      </c>
      <c r="S263" s="1" t="s">
        <v>564</v>
      </c>
      <c r="T263" s="1" t="s">
        <v>106</v>
      </c>
      <c r="U263" s="1" t="s">
        <v>3313</v>
      </c>
      <c r="W263" s="1" t="s">
        <v>115</v>
      </c>
      <c r="X263" s="1" t="s">
        <v>106</v>
      </c>
      <c r="Y263" s="1" t="s">
        <v>3314</v>
      </c>
      <c r="Z263" s="1">
        <v>100</v>
      </c>
      <c r="AA263" s="1" t="s">
        <v>132</v>
      </c>
      <c r="AB263" s="1" t="s">
        <v>128</v>
      </c>
      <c r="AC263" s="1" t="s">
        <v>118</v>
      </c>
      <c r="AD263" s="1">
        <v>15</v>
      </c>
      <c r="AE263" s="1" t="s">
        <v>132</v>
      </c>
      <c r="AF263" s="4">
        <v>24200</v>
      </c>
      <c r="AG263" s="1" t="s">
        <v>106</v>
      </c>
      <c r="AH263" s="1">
        <v>0</v>
      </c>
      <c r="AI263" s="1">
        <v>0</v>
      </c>
      <c r="AJ263" s="1">
        <v>0</v>
      </c>
      <c r="AK263" s="1" t="s">
        <v>119</v>
      </c>
      <c r="AM263" s="1" t="s">
        <v>3315</v>
      </c>
      <c r="AO263" s="1" t="s">
        <v>113</v>
      </c>
      <c r="AP263" s="1" t="s">
        <v>113</v>
      </c>
      <c r="AQ263" s="1" t="s">
        <v>114</v>
      </c>
      <c r="AR263" s="1" t="s">
        <v>114</v>
      </c>
      <c r="AS263" s="1" t="s">
        <v>114</v>
      </c>
      <c r="AT263" s="1" t="s">
        <v>123</v>
      </c>
      <c r="AU263" s="1" t="s">
        <v>113</v>
      </c>
      <c r="AV263" s="1" t="s">
        <v>113</v>
      </c>
      <c r="AW263" s="1" t="s">
        <v>164</v>
      </c>
      <c r="AX263" s="1" t="s">
        <v>165</v>
      </c>
      <c r="AY263" s="1">
        <v>0</v>
      </c>
      <c r="AZ263" s="1" t="s">
        <v>113</v>
      </c>
      <c r="BA263" s="1" t="s">
        <v>113</v>
      </c>
      <c r="BB263" s="1" t="s">
        <v>125</v>
      </c>
      <c r="BC263" s="1" t="s">
        <v>166</v>
      </c>
      <c r="BD263" s="1">
        <v>0</v>
      </c>
      <c r="BE263" s="1">
        <v>100</v>
      </c>
      <c r="BF263" s="1" t="s">
        <v>167</v>
      </c>
      <c r="BG263" s="1" t="s">
        <v>132</v>
      </c>
      <c r="BH263" s="1" t="s">
        <v>168</v>
      </c>
      <c r="BI263" s="1" t="s">
        <v>269</v>
      </c>
      <c r="BJ263" s="1" t="s">
        <v>208</v>
      </c>
      <c r="BK263" s="1">
        <v>5</v>
      </c>
      <c r="BL263" s="1" t="s">
        <v>167</v>
      </c>
      <c r="BM263" s="1" t="s">
        <v>472</v>
      </c>
      <c r="BN263" s="1" t="s">
        <v>143</v>
      </c>
      <c r="BO263" s="1" t="s">
        <v>143</v>
      </c>
      <c r="BP263" s="1" t="s">
        <v>124</v>
      </c>
      <c r="BQ263" s="1" t="s">
        <v>255</v>
      </c>
      <c r="BR263" s="1" t="s">
        <v>3316</v>
      </c>
      <c r="BS263" s="1" t="s">
        <v>3317</v>
      </c>
      <c r="BT263" s="1" t="s">
        <v>172</v>
      </c>
      <c r="BU263" s="1" t="s">
        <v>132</v>
      </c>
      <c r="BV263" s="1" t="s">
        <v>1989</v>
      </c>
      <c r="BW263" s="1" t="s">
        <v>134</v>
      </c>
      <c r="BX263" s="1" t="s">
        <v>114</v>
      </c>
      <c r="BY263" s="1" t="s">
        <v>135</v>
      </c>
      <c r="BZ263" s="1" t="s">
        <v>3318</v>
      </c>
      <c r="CA263" s="4">
        <v>24200</v>
      </c>
      <c r="CB263" s="1" t="s">
        <v>216</v>
      </c>
      <c r="CC263" s="1" t="s">
        <v>658</v>
      </c>
      <c r="CE263" s="1" t="s">
        <v>660</v>
      </c>
      <c r="CF263" s="1">
        <v>11000000</v>
      </c>
      <c r="CG263" s="1">
        <v>11000000</v>
      </c>
      <c r="CH263" s="1">
        <v>235</v>
      </c>
      <c r="CI263" s="1">
        <v>0</v>
      </c>
      <c r="CJ263" s="1">
        <v>77</v>
      </c>
      <c r="CK263" s="1">
        <v>146400</v>
      </c>
      <c r="CL263" s="1">
        <v>220</v>
      </c>
      <c r="CM263" s="1">
        <v>235</v>
      </c>
      <c r="CN263" s="1">
        <v>0</v>
      </c>
      <c r="CO263" s="1">
        <v>0</v>
      </c>
      <c r="CP263" s="1">
        <v>0</v>
      </c>
      <c r="CQ263" s="1">
        <v>0</v>
      </c>
      <c r="CR263" s="1" t="s">
        <v>139</v>
      </c>
      <c r="CS263" s="1" t="s">
        <v>140</v>
      </c>
      <c r="CT263" s="1" t="s">
        <v>573</v>
      </c>
      <c r="CW263" s="1" t="s">
        <v>141</v>
      </c>
      <c r="CX263" s="1" t="s">
        <v>3319</v>
      </c>
      <c r="CY263" s="1" t="s">
        <v>143</v>
      </c>
    </row>
    <row r="264" spans="1:105" s="3" customFormat="1" ht="11.25" customHeight="1" x14ac:dyDescent="0.2">
      <c r="A264" s="1">
        <v>41</v>
      </c>
      <c r="B264" s="1" t="s">
        <v>3321</v>
      </c>
      <c r="C264" s="1" t="s">
        <v>3320</v>
      </c>
      <c r="D264" s="1">
        <v>5939</v>
      </c>
      <c r="E264" s="2" t="s">
        <v>4201</v>
      </c>
      <c r="F264" s="1" t="s">
        <v>106</v>
      </c>
      <c r="G264" s="1" t="s">
        <v>603</v>
      </c>
      <c r="H264" s="1" t="s">
        <v>604</v>
      </c>
      <c r="I264" s="1" t="s">
        <v>3322</v>
      </c>
      <c r="J264" s="1" t="s">
        <v>113</v>
      </c>
      <c r="K264" s="1" t="s">
        <v>3323</v>
      </c>
      <c r="L264" s="1" t="s">
        <v>111</v>
      </c>
      <c r="M264" s="1" t="s">
        <v>111</v>
      </c>
      <c r="N264" s="1" t="s">
        <v>112</v>
      </c>
      <c r="O264" s="1" t="s">
        <v>106</v>
      </c>
      <c r="P264" s="1" t="s">
        <v>113</v>
      </c>
      <c r="Q264" s="1" t="s">
        <v>195</v>
      </c>
      <c r="R264" s="1" t="s">
        <v>3324</v>
      </c>
      <c r="S264" s="1" t="s">
        <v>114</v>
      </c>
      <c r="T264" s="1" t="s">
        <v>106</v>
      </c>
      <c r="U264" s="1" t="s">
        <v>3325</v>
      </c>
      <c r="V264" s="1" t="s">
        <v>566</v>
      </c>
      <c r="W264" s="1" t="s">
        <v>115</v>
      </c>
      <c r="X264" s="1" t="s">
        <v>113</v>
      </c>
      <c r="Y264" s="1" t="s">
        <v>114</v>
      </c>
      <c r="Z264" s="1">
        <v>100</v>
      </c>
      <c r="AA264" s="1" t="s">
        <v>3326</v>
      </c>
      <c r="AB264" s="1" t="s">
        <v>128</v>
      </c>
      <c r="AC264" s="1" t="s">
        <v>384</v>
      </c>
      <c r="AD264" s="1">
        <v>100</v>
      </c>
      <c r="AE264" s="1" t="s">
        <v>3327</v>
      </c>
      <c r="AF264" s="1">
        <v>752</v>
      </c>
      <c r="AG264" s="1" t="s">
        <v>106</v>
      </c>
      <c r="AH264" s="1">
        <v>73</v>
      </c>
      <c r="AI264" s="1">
        <v>27</v>
      </c>
      <c r="AJ264" s="1">
        <v>15</v>
      </c>
      <c r="AK264" s="1" t="s">
        <v>530</v>
      </c>
      <c r="AL264" s="1">
        <v>100</v>
      </c>
      <c r="AM264" s="1" t="s">
        <v>363</v>
      </c>
      <c r="AN264" s="1">
        <v>0</v>
      </c>
      <c r="AO264" s="1" t="s">
        <v>113</v>
      </c>
      <c r="AP264" s="1" t="s">
        <v>106</v>
      </c>
      <c r="AQ264" s="1" t="s">
        <v>3328</v>
      </c>
      <c r="AR264" s="1" t="s">
        <v>3329</v>
      </c>
      <c r="AS264" s="1" t="s">
        <v>3330</v>
      </c>
      <c r="AT264" s="1" t="s">
        <v>344</v>
      </c>
      <c r="AU264" s="1" t="s">
        <v>106</v>
      </c>
      <c r="AV264" s="1" t="s">
        <v>113</v>
      </c>
      <c r="AW264" s="1" t="s">
        <v>164</v>
      </c>
      <c r="AX264" s="1" t="s">
        <v>206</v>
      </c>
      <c r="AY264" s="1">
        <v>400</v>
      </c>
      <c r="AZ264" s="1" t="s">
        <v>113</v>
      </c>
      <c r="BA264" s="1" t="s">
        <v>113</v>
      </c>
      <c r="BB264" s="1" t="s">
        <v>125</v>
      </c>
      <c r="BC264" s="1" t="s">
        <v>166</v>
      </c>
      <c r="BD264" s="1">
        <v>0</v>
      </c>
      <c r="BE264" s="1">
        <v>100</v>
      </c>
      <c r="BF264" s="1" t="s">
        <v>630</v>
      </c>
      <c r="BG264" s="1" t="s">
        <v>1188</v>
      </c>
      <c r="BH264" s="1" t="s">
        <v>269</v>
      </c>
      <c r="BI264" s="1" t="s">
        <v>269</v>
      </c>
      <c r="BJ264" s="1" t="s">
        <v>384</v>
      </c>
      <c r="BK264" s="1">
        <v>100</v>
      </c>
      <c r="BL264" s="1" t="s">
        <v>270</v>
      </c>
      <c r="BM264" s="1" t="s">
        <v>3242</v>
      </c>
      <c r="BN264" s="1">
        <v>12</v>
      </c>
      <c r="BO264" s="1">
        <v>0</v>
      </c>
      <c r="BP264" s="1" t="s">
        <v>115</v>
      </c>
      <c r="BQ264" s="1" t="s">
        <v>388</v>
      </c>
      <c r="BR264" s="1" t="s">
        <v>3331</v>
      </c>
      <c r="BS264" s="1" t="s">
        <v>3332</v>
      </c>
      <c r="BT264" s="1" t="s">
        <v>131</v>
      </c>
      <c r="BU264" s="1" t="s">
        <v>132</v>
      </c>
      <c r="BV264" s="1" t="s">
        <v>713</v>
      </c>
      <c r="BW264" s="1" t="s">
        <v>134</v>
      </c>
      <c r="BX264" s="1" t="s">
        <v>325</v>
      </c>
      <c r="BY264" s="1" t="s">
        <v>299</v>
      </c>
      <c r="BZ264" s="1" t="s">
        <v>3333</v>
      </c>
      <c r="CA264" s="1">
        <v>752</v>
      </c>
      <c r="CB264" s="1" t="s">
        <v>216</v>
      </c>
      <c r="CC264" s="1" t="s">
        <v>217</v>
      </c>
      <c r="CD264" s="1" t="s">
        <v>3334</v>
      </c>
      <c r="CE264" s="1" t="s">
        <v>2326</v>
      </c>
      <c r="CF264" s="6">
        <v>627000</v>
      </c>
      <c r="CG264" s="6">
        <v>749636.49</v>
      </c>
      <c r="CH264" s="6">
        <v>288382.09000000003</v>
      </c>
      <c r="CI264" s="1" t="s">
        <v>3335</v>
      </c>
      <c r="CJ264" s="1" t="s">
        <v>3336</v>
      </c>
      <c r="CK264" s="1">
        <v>471.78</v>
      </c>
      <c r="CL264" s="1">
        <v>471</v>
      </c>
      <c r="CM264" s="1">
        <v>471</v>
      </c>
      <c r="CN264" s="1">
        <v>0</v>
      </c>
      <c r="CO264" s="1">
        <v>0</v>
      </c>
      <c r="CP264" s="1">
        <v>0</v>
      </c>
      <c r="CQ264" s="1">
        <v>0</v>
      </c>
      <c r="CR264" s="1" t="s">
        <v>139</v>
      </c>
      <c r="CS264" s="1" t="s">
        <v>222</v>
      </c>
      <c r="CT264" s="1" t="s">
        <v>1309</v>
      </c>
      <c r="CV264" s="1" t="s">
        <v>3337</v>
      </c>
      <c r="CW264" s="1" t="s">
        <v>251</v>
      </c>
      <c r="CX264" s="1" t="s">
        <v>157</v>
      </c>
      <c r="CY264" s="1" t="s">
        <v>276</v>
      </c>
      <c r="CZ264" s="1" t="s">
        <v>144</v>
      </c>
      <c r="DA264" s="1" t="s">
        <v>145</v>
      </c>
    </row>
    <row r="265" spans="1:105" s="3" customFormat="1" ht="11.25" customHeight="1" x14ac:dyDescent="0.2">
      <c r="A265" s="1">
        <v>41</v>
      </c>
      <c r="B265" s="1" t="s">
        <v>3339</v>
      </c>
      <c r="C265" s="1" t="s">
        <v>3338</v>
      </c>
      <c r="D265" s="1">
        <v>96602</v>
      </c>
      <c r="E265" s="2" t="s">
        <v>4201</v>
      </c>
      <c r="F265" s="1" t="s">
        <v>113</v>
      </c>
      <c r="G265" s="1" t="s">
        <v>190</v>
      </c>
      <c r="H265" s="1" t="s">
        <v>288</v>
      </c>
      <c r="I265" s="1" t="s">
        <v>229</v>
      </c>
      <c r="J265" s="1" t="s">
        <v>229</v>
      </c>
      <c r="L265" s="1" t="s">
        <v>111</v>
      </c>
      <c r="M265" s="1" t="s">
        <v>3340</v>
      </c>
      <c r="N265" s="1" t="s">
        <v>443</v>
      </c>
      <c r="O265" s="1" t="s">
        <v>106</v>
      </c>
      <c r="P265" s="1" t="s">
        <v>106</v>
      </c>
      <c r="Q265" s="1" t="s">
        <v>195</v>
      </c>
      <c r="R265" s="1" t="s">
        <v>3341</v>
      </c>
      <c r="S265" s="1" t="s">
        <v>114</v>
      </c>
      <c r="T265" s="1" t="s">
        <v>113</v>
      </c>
      <c r="U265" s="1" t="s">
        <v>114</v>
      </c>
      <c r="W265" s="1" t="s">
        <v>115</v>
      </c>
      <c r="Z265" s="1">
        <v>100</v>
      </c>
      <c r="AA265" s="1" t="s">
        <v>116</v>
      </c>
      <c r="AB265" s="1" t="s">
        <v>117</v>
      </c>
      <c r="AC265" s="1" t="s">
        <v>128</v>
      </c>
      <c r="AD265" s="1">
        <v>0</v>
      </c>
      <c r="AE265" s="1" t="s">
        <v>114</v>
      </c>
      <c r="AF265" s="1">
        <v>24980.720000000001</v>
      </c>
      <c r="AG265" s="1" t="s">
        <v>106</v>
      </c>
      <c r="AH265" s="1" t="s">
        <v>3342</v>
      </c>
      <c r="AK265" s="1" t="s">
        <v>626</v>
      </c>
      <c r="AM265" s="1" t="s">
        <v>3343</v>
      </c>
      <c r="AN265" s="1">
        <v>0</v>
      </c>
      <c r="AP265" s="1" t="s">
        <v>113</v>
      </c>
      <c r="AQ265" s="1" t="s">
        <v>157</v>
      </c>
      <c r="AR265" s="1" t="s">
        <v>157</v>
      </c>
      <c r="AS265" s="1" t="s">
        <v>114</v>
      </c>
      <c r="AU265" s="1" t="s">
        <v>106</v>
      </c>
      <c r="AV265" s="1" t="s">
        <v>106</v>
      </c>
      <c r="AW265" s="1" t="s">
        <v>234</v>
      </c>
      <c r="AY265" s="1">
        <v>19320</v>
      </c>
      <c r="AZ265" s="1" t="s">
        <v>113</v>
      </c>
      <c r="BA265" s="1" t="s">
        <v>113</v>
      </c>
      <c r="BB265" s="1" t="s">
        <v>125</v>
      </c>
      <c r="BD265" s="1">
        <v>0</v>
      </c>
      <c r="BE265" s="1">
        <v>100</v>
      </c>
      <c r="BF265" s="1" t="s">
        <v>1165</v>
      </c>
      <c r="BG265" s="1" t="s">
        <v>383</v>
      </c>
      <c r="BJ265" s="1" t="s">
        <v>128</v>
      </c>
      <c r="BK265" s="1">
        <v>0</v>
      </c>
      <c r="BL265" s="1" t="s">
        <v>127</v>
      </c>
      <c r="BN265" s="1" t="s">
        <v>3344</v>
      </c>
      <c r="BP265" s="1" t="s">
        <v>124</v>
      </c>
      <c r="BQ265" s="1" t="s">
        <v>3345</v>
      </c>
      <c r="BR265" s="1" t="s">
        <v>3346</v>
      </c>
      <c r="BS265" s="1" t="s">
        <v>3347</v>
      </c>
      <c r="BT265" s="1" t="s">
        <v>172</v>
      </c>
      <c r="BU265" s="1" t="s">
        <v>239</v>
      </c>
      <c r="BV265" s="1" t="s">
        <v>1989</v>
      </c>
      <c r="BW265" s="1" t="s">
        <v>134</v>
      </c>
      <c r="BX265" s="1" t="s">
        <v>135</v>
      </c>
      <c r="BY265" s="1" t="s">
        <v>135</v>
      </c>
      <c r="BZ265" s="1" t="s">
        <v>157</v>
      </c>
      <c r="CA265" s="1" t="s">
        <v>3348</v>
      </c>
      <c r="CB265" s="1" t="s">
        <v>216</v>
      </c>
      <c r="CC265" s="1" t="s">
        <v>3349</v>
      </c>
      <c r="CF265" s="1" t="s">
        <v>3350</v>
      </c>
      <c r="CG265" s="1" t="s">
        <v>3351</v>
      </c>
      <c r="CH265" s="1" t="s">
        <v>3352</v>
      </c>
      <c r="CI265" s="1">
        <v>0</v>
      </c>
      <c r="CJ265" s="1" t="s">
        <v>3353</v>
      </c>
      <c r="CK265" s="1" t="s">
        <v>3354</v>
      </c>
      <c r="CL265" s="1" t="s">
        <v>3355</v>
      </c>
      <c r="CM265" s="1">
        <v>0</v>
      </c>
      <c r="CN265" s="1" t="s">
        <v>3356</v>
      </c>
      <c r="CO265" s="1" t="s">
        <v>3357</v>
      </c>
      <c r="CP265" s="1">
        <v>0</v>
      </c>
      <c r="CQ265" s="1">
        <v>0</v>
      </c>
      <c r="CS265" s="1" t="s">
        <v>140</v>
      </c>
      <c r="CT265" s="1" t="s">
        <v>3358</v>
      </c>
      <c r="CU265" s="1" t="s">
        <v>460</v>
      </c>
      <c r="CW265" s="1" t="s">
        <v>184</v>
      </c>
      <c r="CX265" s="1" t="s">
        <v>3359</v>
      </c>
      <c r="CY265" s="1" t="s">
        <v>143</v>
      </c>
      <c r="CZ265" s="1" t="s">
        <v>144</v>
      </c>
      <c r="DA265" s="1" t="s">
        <v>145</v>
      </c>
    </row>
    <row r="266" spans="1:105" s="3" customFormat="1" ht="11.25" customHeight="1" x14ac:dyDescent="0.2">
      <c r="A266" s="1">
        <v>41</v>
      </c>
      <c r="B266" s="1" t="s">
        <v>3361</v>
      </c>
      <c r="C266" s="1" t="s">
        <v>3360</v>
      </c>
      <c r="D266" s="1">
        <v>6369</v>
      </c>
      <c r="E266" s="2" t="s">
        <v>4201</v>
      </c>
      <c r="F266" s="1" t="s">
        <v>113</v>
      </c>
      <c r="G266" s="1" t="s">
        <v>190</v>
      </c>
      <c r="H266" s="1" t="s">
        <v>589</v>
      </c>
      <c r="I266" s="1" t="s">
        <v>229</v>
      </c>
      <c r="J266" s="1" t="s">
        <v>229</v>
      </c>
      <c r="L266" s="1" t="s">
        <v>111</v>
      </c>
      <c r="M266" s="1" t="s">
        <v>1016</v>
      </c>
      <c r="N266" s="1" t="s">
        <v>112</v>
      </c>
      <c r="O266" s="1" t="s">
        <v>113</v>
      </c>
      <c r="P266" s="1" t="s">
        <v>113</v>
      </c>
      <c r="Q266" s="1" t="s">
        <v>195</v>
      </c>
      <c r="R266" s="1" t="s">
        <v>3362</v>
      </c>
      <c r="S266" s="1" t="s">
        <v>1820</v>
      </c>
      <c r="T266" s="1" t="s">
        <v>106</v>
      </c>
      <c r="U266" s="1" t="s">
        <v>3362</v>
      </c>
      <c r="V266" s="1" t="s">
        <v>688</v>
      </c>
      <c r="W266" s="1" t="s">
        <v>115</v>
      </c>
      <c r="X266" s="1" t="s">
        <v>113</v>
      </c>
      <c r="Y266" s="1" t="s">
        <v>114</v>
      </c>
      <c r="Z266" s="1">
        <v>100</v>
      </c>
      <c r="AA266" s="1" t="s">
        <v>132</v>
      </c>
      <c r="AB266" s="1" t="s">
        <v>128</v>
      </c>
      <c r="AC266" s="1" t="s">
        <v>118</v>
      </c>
      <c r="AD266" s="1">
        <v>70</v>
      </c>
      <c r="AE266" s="1" t="s">
        <v>159</v>
      </c>
      <c r="AF266" s="1">
        <v>537</v>
      </c>
      <c r="AG266" s="1" t="s">
        <v>113</v>
      </c>
      <c r="AH266" s="1">
        <v>0</v>
      </c>
      <c r="AI266" s="1">
        <v>0</v>
      </c>
      <c r="AJ266" s="1">
        <v>0</v>
      </c>
      <c r="AK266" s="1" t="s">
        <v>232</v>
      </c>
      <c r="AL266" s="1">
        <v>0</v>
      </c>
      <c r="AM266" s="1" t="s">
        <v>131</v>
      </c>
      <c r="AN266" s="1">
        <v>5000</v>
      </c>
      <c r="AO266" s="1" t="s">
        <v>113</v>
      </c>
      <c r="AP266" s="1" t="s">
        <v>113</v>
      </c>
      <c r="AQ266" s="1" t="s">
        <v>157</v>
      </c>
      <c r="AR266" s="1" t="s">
        <v>157</v>
      </c>
      <c r="AS266" s="1" t="s">
        <v>157</v>
      </c>
      <c r="AT266" s="1" t="s">
        <v>1541</v>
      </c>
      <c r="AU266" s="1" t="s">
        <v>106</v>
      </c>
      <c r="AV266" s="1" t="s">
        <v>113</v>
      </c>
      <c r="AW266" s="1" t="s">
        <v>164</v>
      </c>
      <c r="AX266" s="1" t="s">
        <v>1594</v>
      </c>
      <c r="AY266" s="1">
        <v>122</v>
      </c>
      <c r="AZ266" s="1" t="s">
        <v>113</v>
      </c>
      <c r="BA266" s="1" t="s">
        <v>113</v>
      </c>
      <c r="BB266" s="1" t="s">
        <v>125</v>
      </c>
      <c r="BC266" s="1" t="s">
        <v>166</v>
      </c>
      <c r="BD266" s="1">
        <v>0</v>
      </c>
      <c r="BE266" s="1">
        <v>100</v>
      </c>
      <c r="BF266" s="1" t="s">
        <v>167</v>
      </c>
      <c r="BG266" s="1" t="s">
        <v>780</v>
      </c>
      <c r="BH266" s="1" t="s">
        <v>207</v>
      </c>
      <c r="BI266" s="1" t="s">
        <v>207</v>
      </c>
      <c r="BJ266" s="1" t="s">
        <v>208</v>
      </c>
      <c r="BK266" s="1">
        <v>70</v>
      </c>
      <c r="BL266" s="1" t="s">
        <v>167</v>
      </c>
      <c r="BM266" s="1" t="s">
        <v>210</v>
      </c>
      <c r="BN266" s="1" t="s">
        <v>3363</v>
      </c>
      <c r="BO266" s="1">
        <v>7</v>
      </c>
      <c r="BP266" s="1" t="s">
        <v>115</v>
      </c>
      <c r="BQ266" s="1" t="s">
        <v>3364</v>
      </c>
      <c r="BR266" s="1" t="s">
        <v>3365</v>
      </c>
      <c r="BS266" s="1" t="s">
        <v>3366</v>
      </c>
      <c r="BT266" s="1" t="s">
        <v>172</v>
      </c>
      <c r="BU266" s="1" t="s">
        <v>132</v>
      </c>
      <c r="BV266" s="1" t="s">
        <v>1418</v>
      </c>
      <c r="BW266" s="1" t="s">
        <v>134</v>
      </c>
      <c r="BX266" s="1" t="s">
        <v>1669</v>
      </c>
      <c r="BY266" s="1" t="s">
        <v>454</v>
      </c>
      <c r="BZ266" s="1" t="s">
        <v>3367</v>
      </c>
      <c r="CA266" s="1">
        <v>537000</v>
      </c>
      <c r="CB266" s="1" t="s">
        <v>176</v>
      </c>
      <c r="CC266" s="1" t="s">
        <v>177</v>
      </c>
      <c r="CD266" s="1" t="s">
        <v>3368</v>
      </c>
      <c r="CE266" s="1" t="s">
        <v>179</v>
      </c>
      <c r="CF266" s="1">
        <v>147273.68</v>
      </c>
      <c r="CG266" s="1">
        <v>474921.22</v>
      </c>
      <c r="CH266" s="1">
        <v>474921.22</v>
      </c>
      <c r="CI266" s="1">
        <v>474921.22</v>
      </c>
      <c r="CJ266" s="1">
        <v>474921.22</v>
      </c>
      <c r="CK266" s="1">
        <v>0</v>
      </c>
      <c r="CL266" s="1">
        <v>0</v>
      </c>
      <c r="CM266" s="1">
        <v>0</v>
      </c>
      <c r="CN266" s="1">
        <v>2000</v>
      </c>
      <c r="CO266" s="1">
        <v>0</v>
      </c>
      <c r="CP266" s="1">
        <v>0</v>
      </c>
      <c r="CQ266" s="1">
        <v>0</v>
      </c>
      <c r="CR266" s="1" t="s">
        <v>139</v>
      </c>
      <c r="CS266" s="1" t="s">
        <v>539</v>
      </c>
      <c r="CT266" s="1" t="s">
        <v>313</v>
      </c>
      <c r="CV266" s="1" t="s">
        <v>3369</v>
      </c>
      <c r="CW266" s="1" t="s">
        <v>184</v>
      </c>
      <c r="CX266" s="1" t="s">
        <v>3370</v>
      </c>
      <c r="CY266" s="1" t="s">
        <v>143</v>
      </c>
      <c r="CZ266" s="1" t="s">
        <v>144</v>
      </c>
      <c r="DA266" s="1" t="s">
        <v>145</v>
      </c>
    </row>
    <row r="267" spans="1:105" s="3" customFormat="1" ht="11.25" customHeight="1" x14ac:dyDescent="0.2">
      <c r="A267" s="1">
        <v>41</v>
      </c>
      <c r="B267" s="1" t="s">
        <v>3372</v>
      </c>
      <c r="C267" s="1" t="s">
        <v>3371</v>
      </c>
      <c r="D267" s="1">
        <v>13496</v>
      </c>
      <c r="E267" s="2" t="s">
        <v>4201</v>
      </c>
      <c r="F267" s="1" t="s">
        <v>113</v>
      </c>
      <c r="G267" s="1" t="s">
        <v>190</v>
      </c>
      <c r="H267" s="1" t="s">
        <v>3373</v>
      </c>
      <c r="I267" s="1" t="s">
        <v>193</v>
      </c>
      <c r="J267" s="1" t="s">
        <v>229</v>
      </c>
      <c r="K267" s="1" t="s">
        <v>3373</v>
      </c>
      <c r="L267" s="1" t="s">
        <v>149</v>
      </c>
      <c r="M267" s="1" t="s">
        <v>3374</v>
      </c>
      <c r="N267" s="1" t="s">
        <v>484</v>
      </c>
      <c r="O267" s="1" t="s">
        <v>113</v>
      </c>
      <c r="P267" s="1" t="s">
        <v>113</v>
      </c>
      <c r="Q267" s="1" t="s">
        <v>1298</v>
      </c>
      <c r="R267" s="1" t="s">
        <v>3373</v>
      </c>
      <c r="S267" s="1" t="s">
        <v>3373</v>
      </c>
      <c r="T267" s="1" t="s">
        <v>106</v>
      </c>
      <c r="U267" s="1" t="s">
        <v>3375</v>
      </c>
      <c r="V267" s="1" t="s">
        <v>3376</v>
      </c>
      <c r="W267" s="1" t="s">
        <v>199</v>
      </c>
      <c r="X267" s="1" t="s">
        <v>113</v>
      </c>
      <c r="Y267" s="1" t="s">
        <v>3373</v>
      </c>
      <c r="Z267" s="1">
        <v>100</v>
      </c>
      <c r="AA267" s="1" t="s">
        <v>116</v>
      </c>
      <c r="AB267" s="1" t="s">
        <v>128</v>
      </c>
      <c r="AC267" s="1" t="s">
        <v>128</v>
      </c>
      <c r="AD267" s="1">
        <v>0</v>
      </c>
      <c r="AE267" s="1" t="s">
        <v>3373</v>
      </c>
      <c r="AF267" s="1">
        <v>2544</v>
      </c>
      <c r="AG267" s="1" t="s">
        <v>106</v>
      </c>
      <c r="AH267" s="1">
        <v>40</v>
      </c>
      <c r="AI267" s="1">
        <v>37</v>
      </c>
      <c r="AJ267" s="1">
        <v>18</v>
      </c>
      <c r="AK267" s="1" t="s">
        <v>626</v>
      </c>
      <c r="AL267" s="1">
        <v>500</v>
      </c>
      <c r="AM267" s="1" t="s">
        <v>3377</v>
      </c>
      <c r="AN267" s="1">
        <v>0</v>
      </c>
      <c r="AO267" s="1" t="s">
        <v>113</v>
      </c>
      <c r="AP267" s="1" t="s">
        <v>113</v>
      </c>
      <c r="AQ267" s="1" t="s">
        <v>3373</v>
      </c>
      <c r="AR267" s="1" t="s">
        <v>3373</v>
      </c>
      <c r="AS267" s="1" t="s">
        <v>3373</v>
      </c>
      <c r="AT267" s="1" t="s">
        <v>123</v>
      </c>
      <c r="AU267" s="1" t="s">
        <v>106</v>
      </c>
      <c r="AV267" s="1" t="s">
        <v>106</v>
      </c>
      <c r="AW267" s="1" t="s">
        <v>164</v>
      </c>
      <c r="AX267" s="1" t="s">
        <v>550</v>
      </c>
      <c r="AY267" s="1">
        <v>100</v>
      </c>
      <c r="AZ267" s="1" t="s">
        <v>113</v>
      </c>
      <c r="BA267" s="1" t="s">
        <v>113</v>
      </c>
      <c r="BB267" s="1" t="s">
        <v>125</v>
      </c>
      <c r="BC267" s="1" t="s">
        <v>166</v>
      </c>
      <c r="BD267" s="1">
        <v>0</v>
      </c>
      <c r="BE267" s="1">
        <v>100</v>
      </c>
      <c r="BF267" s="1" t="s">
        <v>167</v>
      </c>
      <c r="BG267" s="1" t="s">
        <v>116</v>
      </c>
      <c r="BH267" s="1" t="s">
        <v>168</v>
      </c>
      <c r="BI267" s="1" t="s">
        <v>168</v>
      </c>
      <c r="BJ267" s="1" t="s">
        <v>128</v>
      </c>
      <c r="BK267" s="1">
        <v>0</v>
      </c>
      <c r="BL267" s="1" t="s">
        <v>127</v>
      </c>
      <c r="BM267" s="1" t="s">
        <v>114</v>
      </c>
      <c r="BN267" s="1">
        <v>6</v>
      </c>
      <c r="BO267" s="1" t="s">
        <v>3373</v>
      </c>
      <c r="BP267" s="1" t="s">
        <v>124</v>
      </c>
      <c r="BQ267" s="1" t="s">
        <v>3378</v>
      </c>
      <c r="BR267" s="1" t="s">
        <v>3379</v>
      </c>
      <c r="BS267" s="1" t="s">
        <v>3380</v>
      </c>
      <c r="BT267" s="1" t="s">
        <v>172</v>
      </c>
      <c r="BU267" s="1" t="s">
        <v>239</v>
      </c>
      <c r="BV267" s="1" t="s">
        <v>240</v>
      </c>
      <c r="BW267" s="1" t="s">
        <v>134</v>
      </c>
      <c r="BX267" s="1" t="s">
        <v>325</v>
      </c>
      <c r="BY267" s="1" t="s">
        <v>299</v>
      </c>
      <c r="BZ267" s="1" t="s">
        <v>3381</v>
      </c>
      <c r="CA267" s="1">
        <v>2445</v>
      </c>
      <c r="CB267" s="1" t="s">
        <v>244</v>
      </c>
      <c r="CC267" s="1" t="s">
        <v>3382</v>
      </c>
      <c r="CD267" s="1" t="s">
        <v>3374</v>
      </c>
      <c r="CE267" s="1" t="s">
        <v>458</v>
      </c>
      <c r="CF267" s="6">
        <v>590822.16</v>
      </c>
      <c r="CG267" s="6">
        <v>720900.73</v>
      </c>
      <c r="CH267" s="1" t="s">
        <v>3373</v>
      </c>
      <c r="CI267" s="1" t="s">
        <v>3373</v>
      </c>
      <c r="CJ267" s="1" t="s">
        <v>3373</v>
      </c>
      <c r="CK267" s="1" t="s">
        <v>3373</v>
      </c>
      <c r="CL267" s="1">
        <v>0</v>
      </c>
      <c r="CM267" s="1">
        <v>0</v>
      </c>
      <c r="CN267" s="1">
        <v>50</v>
      </c>
      <c r="CO267" s="1">
        <v>50</v>
      </c>
      <c r="CP267" s="1">
        <v>50</v>
      </c>
      <c r="CQ267" s="1">
        <v>50</v>
      </c>
      <c r="CR267" s="1" t="s">
        <v>3383</v>
      </c>
      <c r="CS267" s="1" t="s">
        <v>140</v>
      </c>
      <c r="CT267" s="1" t="s">
        <v>394</v>
      </c>
      <c r="CV267" s="1" t="s">
        <v>3384</v>
      </c>
      <c r="CW267" s="1" t="s">
        <v>3385</v>
      </c>
      <c r="CX267" s="1" t="s">
        <v>3386</v>
      </c>
      <c r="CY267" s="1" t="s">
        <v>143</v>
      </c>
      <c r="CZ267" s="1" t="s">
        <v>144</v>
      </c>
      <c r="DA267" s="1" t="s">
        <v>145</v>
      </c>
    </row>
    <row r="268" spans="1:105" s="3" customFormat="1" ht="11.25" customHeight="1" x14ac:dyDescent="0.2">
      <c r="A268" s="1">
        <v>41</v>
      </c>
      <c r="B268" s="1" t="s">
        <v>3388</v>
      </c>
      <c r="C268" s="1" t="s">
        <v>3387</v>
      </c>
      <c r="D268" s="1">
        <v>7496</v>
      </c>
      <c r="E268" s="2" t="s">
        <v>4201</v>
      </c>
      <c r="F268" s="1" t="s">
        <v>113</v>
      </c>
      <c r="G268" s="1" t="s">
        <v>190</v>
      </c>
      <c r="H268" s="1" t="s">
        <v>373</v>
      </c>
      <c r="I268" s="1" t="s">
        <v>229</v>
      </c>
      <c r="J268" s="1" t="s">
        <v>229</v>
      </c>
      <c r="K268" s="1" t="s">
        <v>373</v>
      </c>
      <c r="L268" s="1" t="s">
        <v>111</v>
      </c>
      <c r="M268" s="1" t="s">
        <v>373</v>
      </c>
      <c r="N268" s="1" t="s">
        <v>112</v>
      </c>
      <c r="O268" s="1" t="s">
        <v>113</v>
      </c>
      <c r="P268" s="1" t="s">
        <v>113</v>
      </c>
      <c r="Q268" s="1" t="s">
        <v>195</v>
      </c>
      <c r="R268" s="1" t="s">
        <v>373</v>
      </c>
      <c r="S268" s="1" t="s">
        <v>373</v>
      </c>
      <c r="T268" s="1" t="s">
        <v>106</v>
      </c>
      <c r="U268" s="1" t="s">
        <v>373</v>
      </c>
      <c r="V268" s="1" t="s">
        <v>1291</v>
      </c>
      <c r="W268" s="1" t="s">
        <v>115</v>
      </c>
      <c r="X268" s="1" t="s">
        <v>113</v>
      </c>
      <c r="Y268" s="1" t="s">
        <v>373</v>
      </c>
      <c r="Z268" s="1">
        <v>100</v>
      </c>
      <c r="AA268" s="1" t="s">
        <v>116</v>
      </c>
      <c r="AB268" s="1" t="s">
        <v>128</v>
      </c>
      <c r="AC268" s="1" t="s">
        <v>128</v>
      </c>
      <c r="AD268" s="1">
        <v>0</v>
      </c>
      <c r="AE268" s="1" t="s">
        <v>116</v>
      </c>
      <c r="AF268" s="1">
        <v>900</v>
      </c>
      <c r="AG268" s="1" t="s">
        <v>106</v>
      </c>
      <c r="AH268" s="1">
        <v>50</v>
      </c>
      <c r="AI268" s="1">
        <v>30</v>
      </c>
      <c r="AJ268" s="1">
        <v>20</v>
      </c>
      <c r="AK268" s="1" t="s">
        <v>626</v>
      </c>
      <c r="AL268" s="1">
        <v>1200</v>
      </c>
      <c r="AM268" s="1" t="s">
        <v>293</v>
      </c>
      <c r="AN268" s="1">
        <v>1200</v>
      </c>
      <c r="AO268" s="1" t="s">
        <v>113</v>
      </c>
      <c r="AP268" s="1" t="s">
        <v>113</v>
      </c>
      <c r="AQ268" s="1" t="s">
        <v>373</v>
      </c>
      <c r="AR268" s="1" t="s">
        <v>373</v>
      </c>
      <c r="AS268" s="1" t="s">
        <v>373</v>
      </c>
      <c r="AT268" s="1" t="s">
        <v>123</v>
      </c>
      <c r="AU268" s="1" t="s">
        <v>106</v>
      </c>
      <c r="AV268" s="1" t="s">
        <v>113</v>
      </c>
      <c r="AW268" s="1" t="s">
        <v>234</v>
      </c>
      <c r="AX268" s="1" t="s">
        <v>206</v>
      </c>
      <c r="AY268" s="1">
        <v>68</v>
      </c>
      <c r="AZ268" s="1" t="s">
        <v>113</v>
      </c>
      <c r="BA268" s="1" t="s">
        <v>113</v>
      </c>
      <c r="BB268" s="1" t="s">
        <v>125</v>
      </c>
      <c r="BC268" s="1" t="s">
        <v>166</v>
      </c>
      <c r="BD268" s="1">
        <v>0</v>
      </c>
      <c r="BE268" s="1">
        <v>100</v>
      </c>
      <c r="BF268" s="1" t="s">
        <v>167</v>
      </c>
      <c r="BG268" s="1" t="s">
        <v>116</v>
      </c>
      <c r="BH268" s="1" t="s">
        <v>168</v>
      </c>
      <c r="BI268" s="1" t="s">
        <v>168</v>
      </c>
      <c r="BJ268" s="1" t="s">
        <v>128</v>
      </c>
      <c r="BK268" s="1">
        <v>0</v>
      </c>
      <c r="BL268" s="1" t="s">
        <v>127</v>
      </c>
      <c r="BM268" s="1" t="s">
        <v>114</v>
      </c>
      <c r="BN268" s="1">
        <v>0</v>
      </c>
      <c r="BO268" s="1">
        <v>0</v>
      </c>
      <c r="BP268" s="1" t="s">
        <v>124</v>
      </c>
      <c r="BQ268" s="1" t="s">
        <v>373</v>
      </c>
      <c r="BR268" s="1" t="s">
        <v>3389</v>
      </c>
      <c r="BS268" s="1" t="s">
        <v>3390</v>
      </c>
      <c r="BT268" s="1" t="s">
        <v>172</v>
      </c>
      <c r="BU268" s="1" t="s">
        <v>239</v>
      </c>
      <c r="BV268" s="1" t="s">
        <v>3391</v>
      </c>
      <c r="BW268" s="1" t="s">
        <v>134</v>
      </c>
      <c r="BX268" s="1" t="s">
        <v>373</v>
      </c>
      <c r="BY268" s="1" t="s">
        <v>135</v>
      </c>
      <c r="BZ268" s="1" t="s">
        <v>1400</v>
      </c>
      <c r="CA268" s="1">
        <v>1800</v>
      </c>
      <c r="CB268" s="1" t="s">
        <v>244</v>
      </c>
      <c r="CC268" s="1" t="s">
        <v>177</v>
      </c>
      <c r="CD268" s="1" t="s">
        <v>373</v>
      </c>
      <c r="CE268" s="1" t="s">
        <v>219</v>
      </c>
      <c r="CF268" s="1">
        <v>100000</v>
      </c>
      <c r="CG268" s="1">
        <v>568000</v>
      </c>
      <c r="CH268" s="1">
        <v>150</v>
      </c>
      <c r="CI268" s="1">
        <v>0</v>
      </c>
      <c r="CJ268" s="1">
        <v>0</v>
      </c>
      <c r="CK268" s="1">
        <v>120</v>
      </c>
      <c r="CL268" s="1">
        <v>0</v>
      </c>
      <c r="CM268" s="1">
        <v>20</v>
      </c>
      <c r="CN268" s="1">
        <v>30</v>
      </c>
      <c r="CO268" s="1">
        <v>0</v>
      </c>
      <c r="CP268" s="1">
        <v>0</v>
      </c>
      <c r="CQ268" s="1">
        <v>0</v>
      </c>
      <c r="CR268" s="1" t="s">
        <v>139</v>
      </c>
      <c r="CS268" s="1" t="s">
        <v>308</v>
      </c>
      <c r="CT268" s="1" t="s">
        <v>3392</v>
      </c>
      <c r="CU268" s="1" t="s">
        <v>249</v>
      </c>
      <c r="CV268" s="1" t="s">
        <v>907</v>
      </c>
      <c r="CW268" s="1" t="s">
        <v>251</v>
      </c>
      <c r="CX268" s="1" t="s">
        <v>373</v>
      </c>
      <c r="CY268" s="1" t="s">
        <v>373</v>
      </c>
      <c r="CZ268" s="1" t="s">
        <v>144</v>
      </c>
      <c r="DA268" s="1" t="s">
        <v>145</v>
      </c>
    </row>
    <row r="269" spans="1:105" s="3" customFormat="1" ht="11.25" customHeight="1" x14ac:dyDescent="0.2">
      <c r="A269" s="1">
        <v>41</v>
      </c>
      <c r="B269" s="1" t="s">
        <v>3394</v>
      </c>
      <c r="C269" s="1" t="s">
        <v>3393</v>
      </c>
      <c r="D269" s="1">
        <v>12275</v>
      </c>
      <c r="E269" s="2" t="s">
        <v>4201</v>
      </c>
      <c r="F269" s="1" t="s">
        <v>113</v>
      </c>
      <c r="H269" s="1" t="s">
        <v>332</v>
      </c>
      <c r="I269" s="1" t="s">
        <v>229</v>
      </c>
      <c r="J269" s="1" t="s">
        <v>229</v>
      </c>
      <c r="L269" s="1" t="s">
        <v>111</v>
      </c>
      <c r="M269" s="1" t="s">
        <v>111</v>
      </c>
      <c r="N269" s="1" t="s">
        <v>112</v>
      </c>
      <c r="O269" s="1" t="s">
        <v>113</v>
      </c>
      <c r="P269" s="1" t="s">
        <v>113</v>
      </c>
      <c r="Q269" s="1" t="s">
        <v>195</v>
      </c>
      <c r="R269" s="1" t="s">
        <v>3395</v>
      </c>
      <c r="S269" s="1" t="s">
        <v>114</v>
      </c>
      <c r="T269" s="1" t="s">
        <v>106</v>
      </c>
      <c r="U269" s="1" t="s">
        <v>3396</v>
      </c>
      <c r="V269" s="1" t="s">
        <v>3397</v>
      </c>
      <c r="W269" s="1" t="s">
        <v>115</v>
      </c>
      <c r="X269" s="1" t="s">
        <v>113</v>
      </c>
      <c r="Y269" s="1" t="s">
        <v>114</v>
      </c>
      <c r="Z269" s="1">
        <v>100</v>
      </c>
      <c r="AA269" s="1" t="s">
        <v>132</v>
      </c>
      <c r="AB269" s="1" t="s">
        <v>117</v>
      </c>
      <c r="AC269" s="1" t="s">
        <v>118</v>
      </c>
      <c r="AD269" s="1">
        <v>15</v>
      </c>
      <c r="AE269" s="1" t="s">
        <v>132</v>
      </c>
      <c r="AF269" s="1">
        <v>2569</v>
      </c>
      <c r="AG269" s="1" t="s">
        <v>113</v>
      </c>
      <c r="AH269" s="1">
        <v>0</v>
      </c>
      <c r="AI269" s="1">
        <v>0</v>
      </c>
      <c r="AJ269" s="1">
        <v>0</v>
      </c>
      <c r="AK269" s="1" t="s">
        <v>626</v>
      </c>
      <c r="AL269" s="1">
        <v>14893</v>
      </c>
      <c r="AM269" s="1" t="s">
        <v>3398</v>
      </c>
      <c r="AN269" s="1">
        <v>5957</v>
      </c>
      <c r="AO269" s="1" t="s">
        <v>113</v>
      </c>
      <c r="AP269" s="1" t="s">
        <v>113</v>
      </c>
      <c r="AQ269" s="1" t="s">
        <v>114</v>
      </c>
      <c r="AR269" s="1" t="s">
        <v>114</v>
      </c>
      <c r="AS269" s="1" t="s">
        <v>114</v>
      </c>
      <c r="AT269" s="1" t="s">
        <v>1322</v>
      </c>
      <c r="AU269" s="1" t="s">
        <v>113</v>
      </c>
      <c r="AV269" s="1" t="s">
        <v>113</v>
      </c>
      <c r="AW269" s="1" t="s">
        <v>2293</v>
      </c>
      <c r="AX269" s="1" t="s">
        <v>165</v>
      </c>
      <c r="AY269" s="1">
        <v>168</v>
      </c>
      <c r="AZ269" s="1" t="s">
        <v>113</v>
      </c>
      <c r="BA269" s="1" t="s">
        <v>113</v>
      </c>
      <c r="BB269" s="1" t="s">
        <v>125</v>
      </c>
      <c r="BC269" s="1" t="s">
        <v>166</v>
      </c>
      <c r="BD269" s="1">
        <v>0</v>
      </c>
      <c r="BE269" s="1">
        <v>100</v>
      </c>
      <c r="BF269" s="1" t="s">
        <v>1165</v>
      </c>
      <c r="BG269" s="1" t="s">
        <v>132</v>
      </c>
      <c r="BH269" s="1" t="s">
        <v>168</v>
      </c>
      <c r="BI269" s="1" t="s">
        <v>168</v>
      </c>
      <c r="BJ269" s="1" t="s">
        <v>208</v>
      </c>
      <c r="BK269" s="1">
        <v>5</v>
      </c>
      <c r="BL269" s="1" t="s">
        <v>270</v>
      </c>
      <c r="BM269" s="1" t="s">
        <v>472</v>
      </c>
      <c r="BN269" s="1" t="s">
        <v>143</v>
      </c>
      <c r="BP269" s="1" t="s">
        <v>124</v>
      </c>
      <c r="BQ269" s="1" t="s">
        <v>3399</v>
      </c>
      <c r="BR269" s="1" t="s">
        <v>3400</v>
      </c>
      <c r="BS269" s="1" t="s">
        <v>3401</v>
      </c>
      <c r="BT269" s="1" t="s">
        <v>172</v>
      </c>
      <c r="BU269" s="1" t="s">
        <v>239</v>
      </c>
      <c r="BV269" s="1" t="s">
        <v>3402</v>
      </c>
      <c r="BW269" s="1" t="s">
        <v>134</v>
      </c>
      <c r="BX269" s="1" t="s">
        <v>135</v>
      </c>
      <c r="BY269" s="1" t="s">
        <v>135</v>
      </c>
      <c r="BZ269" s="1" t="s">
        <v>3403</v>
      </c>
      <c r="CA269" s="1">
        <v>2569</v>
      </c>
      <c r="CB269" s="1" t="s">
        <v>176</v>
      </c>
      <c r="CC269" s="1" t="s">
        <v>3382</v>
      </c>
      <c r="CD269" s="1" t="s">
        <v>3404</v>
      </c>
      <c r="CE269" s="1" t="s">
        <v>497</v>
      </c>
      <c r="CF269" s="1" t="s">
        <v>3405</v>
      </c>
      <c r="CG269" s="1" t="s">
        <v>3406</v>
      </c>
      <c r="CH269" s="1" t="s">
        <v>3407</v>
      </c>
      <c r="CI269" s="1">
        <v>0</v>
      </c>
      <c r="CJ269" s="1" t="s">
        <v>3408</v>
      </c>
      <c r="CK269" s="1" t="s">
        <v>3409</v>
      </c>
      <c r="CL269" s="1">
        <v>0</v>
      </c>
      <c r="CM269" s="1">
        <v>0</v>
      </c>
      <c r="CN269" s="1" t="s">
        <v>3410</v>
      </c>
      <c r="CO269" s="1" t="s">
        <v>3411</v>
      </c>
      <c r="CP269" s="1">
        <v>0</v>
      </c>
      <c r="CQ269" s="1">
        <v>0</v>
      </c>
      <c r="CR269" s="1" t="s">
        <v>139</v>
      </c>
      <c r="CS269" s="1" t="s">
        <v>140</v>
      </c>
      <c r="CT269" s="1" t="s">
        <v>282</v>
      </c>
      <c r="CV269" s="1" t="s">
        <v>310</v>
      </c>
      <c r="CW269" s="1" t="s">
        <v>184</v>
      </c>
      <c r="CX269" s="1" t="s">
        <v>3412</v>
      </c>
      <c r="CY269" s="1" t="s">
        <v>143</v>
      </c>
      <c r="CZ269" s="1" t="s">
        <v>144</v>
      </c>
      <c r="DA269" s="1" t="s">
        <v>145</v>
      </c>
    </row>
    <row r="270" spans="1:105" s="3" customFormat="1" ht="11.25" customHeight="1" x14ac:dyDescent="0.2">
      <c r="A270" s="1">
        <v>41</v>
      </c>
      <c r="B270" s="1" t="s">
        <v>3414</v>
      </c>
      <c r="C270" s="1" t="s">
        <v>3413</v>
      </c>
      <c r="D270" s="1">
        <v>14179</v>
      </c>
      <c r="E270" s="2" t="s">
        <v>4201</v>
      </c>
      <c r="F270" s="1" t="s">
        <v>106</v>
      </c>
      <c r="G270" s="1" t="s">
        <v>107</v>
      </c>
      <c r="H270" s="1" t="s">
        <v>108</v>
      </c>
      <c r="I270" s="1" t="s">
        <v>1348</v>
      </c>
      <c r="J270" s="1" t="s">
        <v>106</v>
      </c>
      <c r="K270" s="1" t="s">
        <v>110</v>
      </c>
      <c r="L270" s="1" t="s">
        <v>401</v>
      </c>
      <c r="M270" s="1" t="s">
        <v>3415</v>
      </c>
      <c r="N270" s="1" t="s">
        <v>2002</v>
      </c>
      <c r="O270" s="1" t="s">
        <v>106</v>
      </c>
      <c r="P270" s="1" t="s">
        <v>106</v>
      </c>
      <c r="Q270" s="1" t="s">
        <v>152</v>
      </c>
      <c r="R270" s="1" t="s">
        <v>3416</v>
      </c>
      <c r="S270" s="1" t="s">
        <v>3417</v>
      </c>
      <c r="T270" s="1" t="s">
        <v>106</v>
      </c>
      <c r="U270" s="1" t="s">
        <v>3418</v>
      </c>
      <c r="V270" s="1" t="s">
        <v>468</v>
      </c>
      <c r="W270" s="1" t="s">
        <v>115</v>
      </c>
      <c r="X270" s="1" t="s">
        <v>113</v>
      </c>
      <c r="Y270" s="1" t="s">
        <v>114</v>
      </c>
      <c r="Z270" s="1">
        <v>100</v>
      </c>
      <c r="AA270" s="1" t="s">
        <v>132</v>
      </c>
      <c r="AB270" s="1" t="s">
        <v>128</v>
      </c>
      <c r="AC270" s="1" t="s">
        <v>384</v>
      </c>
      <c r="AD270" s="1">
        <v>100</v>
      </c>
      <c r="AE270" s="1" t="s">
        <v>132</v>
      </c>
      <c r="AF270" s="1">
        <v>147</v>
      </c>
      <c r="AG270" s="1" t="s">
        <v>113</v>
      </c>
      <c r="AH270" s="1">
        <v>0</v>
      </c>
      <c r="AI270" s="1">
        <v>0</v>
      </c>
      <c r="AJ270" s="1">
        <v>0</v>
      </c>
      <c r="AK270" s="1" t="s">
        <v>119</v>
      </c>
      <c r="AL270" s="1">
        <v>0</v>
      </c>
      <c r="AM270" s="1" t="s">
        <v>3419</v>
      </c>
      <c r="AN270" s="1">
        <v>0</v>
      </c>
      <c r="AO270" s="1" t="s">
        <v>113</v>
      </c>
      <c r="AP270" s="1" t="s">
        <v>113</v>
      </c>
      <c r="AQ270" s="1" t="s">
        <v>127</v>
      </c>
      <c r="AR270" s="1" t="s">
        <v>127</v>
      </c>
      <c r="AS270" s="1" t="s">
        <v>127</v>
      </c>
      <c r="AT270" s="1" t="s">
        <v>650</v>
      </c>
      <c r="AU270" s="1" t="s">
        <v>113</v>
      </c>
      <c r="AV270" s="1" t="s">
        <v>113</v>
      </c>
      <c r="AW270" s="1" t="s">
        <v>164</v>
      </c>
      <c r="AX270" s="1" t="s">
        <v>165</v>
      </c>
      <c r="AY270" s="1">
        <v>0</v>
      </c>
      <c r="AZ270" s="1" t="s">
        <v>113</v>
      </c>
      <c r="BA270" s="1" t="s">
        <v>113</v>
      </c>
      <c r="BB270" s="1" t="s">
        <v>125</v>
      </c>
      <c r="BC270" s="1" t="s">
        <v>166</v>
      </c>
      <c r="BD270" s="1">
        <v>0</v>
      </c>
      <c r="BE270" s="1">
        <v>100</v>
      </c>
      <c r="BF270" s="1" t="s">
        <v>167</v>
      </c>
      <c r="BG270" s="1" t="s">
        <v>132</v>
      </c>
      <c r="BH270" s="1" t="s">
        <v>168</v>
      </c>
      <c r="BI270" s="1" t="s">
        <v>569</v>
      </c>
      <c r="BJ270" s="1" t="s">
        <v>384</v>
      </c>
      <c r="BK270" s="1">
        <v>100</v>
      </c>
      <c r="BL270" s="1" t="s">
        <v>270</v>
      </c>
      <c r="BM270" s="1" t="s">
        <v>472</v>
      </c>
      <c r="BN270" s="1">
        <v>4</v>
      </c>
      <c r="BO270" s="1">
        <v>0</v>
      </c>
      <c r="BP270" s="1" t="s">
        <v>115</v>
      </c>
      <c r="BQ270" s="1" t="s">
        <v>110</v>
      </c>
      <c r="BR270" s="1" t="s">
        <v>114</v>
      </c>
      <c r="BS270" s="1" t="s">
        <v>130</v>
      </c>
      <c r="BT270" s="1" t="s">
        <v>172</v>
      </c>
      <c r="BU270" s="1" t="s">
        <v>1239</v>
      </c>
      <c r="BV270" s="1" t="s">
        <v>3420</v>
      </c>
      <c r="BW270" s="1" t="s">
        <v>134</v>
      </c>
      <c r="BX270" s="1" t="s">
        <v>137</v>
      </c>
      <c r="BY270" s="1" t="s">
        <v>135</v>
      </c>
      <c r="BZ270" s="1" t="s">
        <v>3421</v>
      </c>
      <c r="CA270" s="1">
        <v>1528</v>
      </c>
      <c r="CB270" s="1" t="s">
        <v>176</v>
      </c>
      <c r="CC270" s="1" t="s">
        <v>301</v>
      </c>
      <c r="CD270" s="1" t="s">
        <v>3422</v>
      </c>
      <c r="CE270" s="1" t="s">
        <v>179</v>
      </c>
      <c r="CF270" s="6">
        <v>709700.65</v>
      </c>
      <c r="CG270" s="8">
        <v>932248.85</v>
      </c>
      <c r="CH270" s="8">
        <v>522387.56</v>
      </c>
      <c r="CI270" s="8">
        <v>192877.05</v>
      </c>
      <c r="CJ270" s="8">
        <v>133046.47</v>
      </c>
      <c r="CK270" s="1">
        <v>119.937</v>
      </c>
      <c r="CL270" s="4">
        <v>37200</v>
      </c>
      <c r="CM270" s="1">
        <v>0</v>
      </c>
      <c r="CN270" s="1">
        <v>0</v>
      </c>
      <c r="CO270" s="1">
        <v>0</v>
      </c>
      <c r="CP270" s="1">
        <v>0</v>
      </c>
      <c r="CQ270" s="1">
        <v>0</v>
      </c>
      <c r="CR270" s="1" t="s">
        <v>139</v>
      </c>
      <c r="CS270" s="1" t="s">
        <v>140</v>
      </c>
      <c r="CT270" s="1" t="s">
        <v>3423</v>
      </c>
      <c r="CW270" s="1" t="s">
        <v>141</v>
      </c>
      <c r="CX270" s="1" t="s">
        <v>3424</v>
      </c>
      <c r="CY270" s="1" t="s">
        <v>143</v>
      </c>
      <c r="CZ270" s="1" t="s">
        <v>144</v>
      </c>
      <c r="DA270" s="1" t="s">
        <v>145</v>
      </c>
    </row>
    <row r="271" spans="1:105" s="3" customFormat="1" ht="11.25" customHeight="1" x14ac:dyDescent="0.2">
      <c r="A271" s="1">
        <v>41</v>
      </c>
      <c r="B271" s="1" t="s">
        <v>3426</v>
      </c>
      <c r="C271" s="1" t="s">
        <v>3425</v>
      </c>
      <c r="D271" s="1">
        <v>131199</v>
      </c>
      <c r="E271" s="2" t="s">
        <v>4201</v>
      </c>
      <c r="F271" s="1" t="s">
        <v>106</v>
      </c>
      <c r="G271" s="1" t="s">
        <v>107</v>
      </c>
      <c r="H271" s="1" t="s">
        <v>108</v>
      </c>
      <c r="I271" s="1" t="s">
        <v>1348</v>
      </c>
      <c r="J271" s="1" t="s">
        <v>106</v>
      </c>
      <c r="K271" s="1" t="s">
        <v>110</v>
      </c>
      <c r="L271" s="1" t="s">
        <v>149</v>
      </c>
      <c r="M271" s="1" t="s">
        <v>3427</v>
      </c>
      <c r="N271" s="1" t="s">
        <v>484</v>
      </c>
      <c r="O271" s="1" t="s">
        <v>106</v>
      </c>
      <c r="P271" s="1" t="s">
        <v>113</v>
      </c>
      <c r="Q271" s="1" t="s">
        <v>195</v>
      </c>
      <c r="R271" s="1" t="s">
        <v>3428</v>
      </c>
      <c r="S271" s="1" t="s">
        <v>3429</v>
      </c>
      <c r="T271" s="1" t="s">
        <v>106</v>
      </c>
      <c r="U271" s="1" t="s">
        <v>3430</v>
      </c>
      <c r="V271" s="1" t="s">
        <v>3431</v>
      </c>
      <c r="W271" s="1" t="s">
        <v>199</v>
      </c>
      <c r="X271" s="1" t="s">
        <v>106</v>
      </c>
      <c r="Y271" s="1" t="s">
        <v>3430</v>
      </c>
      <c r="Z271" s="1">
        <v>100</v>
      </c>
      <c r="AA271" s="1" t="s">
        <v>132</v>
      </c>
      <c r="AB271" s="1" t="s">
        <v>128</v>
      </c>
      <c r="AC271" s="1" t="s">
        <v>128</v>
      </c>
      <c r="AD271" s="1">
        <v>0</v>
      </c>
      <c r="AE271" s="1" t="s">
        <v>3432</v>
      </c>
      <c r="AF271" s="1">
        <v>34868</v>
      </c>
      <c r="AG271" s="1" t="s">
        <v>106</v>
      </c>
      <c r="AH271" s="1">
        <v>48</v>
      </c>
      <c r="AI271" s="1">
        <v>25</v>
      </c>
      <c r="AJ271" s="1">
        <v>24</v>
      </c>
      <c r="AK271" s="1" t="s">
        <v>530</v>
      </c>
      <c r="AL271" s="1">
        <v>2364</v>
      </c>
      <c r="AM271" s="1" t="s">
        <v>3433</v>
      </c>
      <c r="AN271" s="1">
        <v>2364</v>
      </c>
      <c r="AO271" s="1" t="s">
        <v>113</v>
      </c>
      <c r="AP271" s="1" t="s">
        <v>106</v>
      </c>
      <c r="AQ271" s="1" t="s">
        <v>3434</v>
      </c>
      <c r="AR271" s="1" t="s">
        <v>3435</v>
      </c>
      <c r="AS271" s="1" t="s">
        <v>3436</v>
      </c>
      <c r="AT271" s="1" t="s">
        <v>1483</v>
      </c>
      <c r="AU271" s="1" t="s">
        <v>113</v>
      </c>
      <c r="AV271" s="1" t="s">
        <v>113</v>
      </c>
      <c r="AW271" s="1" t="s">
        <v>164</v>
      </c>
      <c r="AX271" s="1" t="s">
        <v>165</v>
      </c>
      <c r="AY271" s="1">
        <v>0</v>
      </c>
      <c r="AZ271" s="1" t="s">
        <v>106</v>
      </c>
      <c r="BA271" s="1" t="s">
        <v>113</v>
      </c>
      <c r="BB271" s="1" t="s">
        <v>3437</v>
      </c>
      <c r="BC271" s="1" t="s">
        <v>2701</v>
      </c>
      <c r="BD271" s="1">
        <v>8320</v>
      </c>
      <c r="BE271" s="1">
        <v>100</v>
      </c>
      <c r="BF271" s="1" t="s">
        <v>167</v>
      </c>
      <c r="BG271" s="1" t="s">
        <v>132</v>
      </c>
      <c r="BH271" s="1" t="s">
        <v>168</v>
      </c>
      <c r="BI271" s="1" t="s">
        <v>269</v>
      </c>
      <c r="BJ271" s="1" t="s">
        <v>128</v>
      </c>
      <c r="BK271" s="1">
        <v>0</v>
      </c>
      <c r="BL271" s="1" t="s">
        <v>127</v>
      </c>
      <c r="BM271" s="1" t="s">
        <v>114</v>
      </c>
      <c r="BN271" s="1">
        <v>473</v>
      </c>
      <c r="BP271" s="1" t="s">
        <v>115</v>
      </c>
      <c r="BQ271" s="1" t="s">
        <v>110</v>
      </c>
      <c r="BR271" s="1" t="s">
        <v>3438</v>
      </c>
      <c r="BS271" s="1" t="s">
        <v>3439</v>
      </c>
      <c r="BT271" s="1" t="s">
        <v>172</v>
      </c>
      <c r="BU271" s="1" t="s">
        <v>173</v>
      </c>
      <c r="BV271" s="1" t="s">
        <v>174</v>
      </c>
      <c r="BW271" s="1" t="s">
        <v>134</v>
      </c>
      <c r="BX271" s="1" t="s">
        <v>135</v>
      </c>
      <c r="BY271" s="1" t="s">
        <v>135</v>
      </c>
      <c r="BZ271" s="1" t="s">
        <v>3440</v>
      </c>
      <c r="CA271" s="1">
        <v>34868</v>
      </c>
      <c r="CB271" s="1" t="s">
        <v>244</v>
      </c>
      <c r="CC271" s="1" t="s">
        <v>3441</v>
      </c>
      <c r="CD271" s="1" t="s">
        <v>3442</v>
      </c>
      <c r="CE271" s="1" t="s">
        <v>179</v>
      </c>
      <c r="CF271" s="1">
        <v>16853051.16</v>
      </c>
      <c r="CG271" s="1">
        <v>20264844.48</v>
      </c>
      <c r="CH271" s="1">
        <v>240.82</v>
      </c>
      <c r="CI271" s="1">
        <v>100.64</v>
      </c>
      <c r="CJ271" s="1">
        <v>97.86</v>
      </c>
      <c r="CK271" s="1">
        <v>524.12</v>
      </c>
      <c r="CL271" s="1">
        <v>260</v>
      </c>
      <c r="CM271" s="1">
        <v>100</v>
      </c>
      <c r="CN271" s="1">
        <v>591</v>
      </c>
      <c r="CO271" s="1">
        <v>0</v>
      </c>
      <c r="CP271" s="1">
        <v>240</v>
      </c>
      <c r="CQ271" s="1">
        <v>33</v>
      </c>
      <c r="CR271" s="1" t="s">
        <v>139</v>
      </c>
      <c r="CS271" s="1" t="s">
        <v>140</v>
      </c>
      <c r="CT271" s="1" t="s">
        <v>3443</v>
      </c>
      <c r="CV271" s="1" t="s">
        <v>3444</v>
      </c>
      <c r="CW271" s="1" t="s">
        <v>251</v>
      </c>
      <c r="CX271" s="1" t="s">
        <v>114</v>
      </c>
      <c r="CY271" s="1" t="s">
        <v>114</v>
      </c>
      <c r="CZ271" s="1" t="s">
        <v>144</v>
      </c>
      <c r="DA271" s="1" t="s">
        <v>145</v>
      </c>
    </row>
    <row r="272" spans="1:105" s="3" customFormat="1" ht="11.25" customHeight="1" x14ac:dyDescent="0.2">
      <c r="A272" s="1">
        <v>41</v>
      </c>
      <c r="B272" s="1" t="s">
        <v>3445</v>
      </c>
      <c r="C272" s="1" t="s">
        <v>3446</v>
      </c>
      <c r="D272" s="1">
        <v>14815</v>
      </c>
      <c r="E272" s="2" t="s">
        <v>1688</v>
      </c>
      <c r="F272" s="1"/>
      <c r="G272" s="1"/>
      <c r="H272" s="1"/>
      <c r="I272" s="1"/>
      <c r="J272" s="1"/>
      <c r="L272" s="1"/>
      <c r="M272" s="1"/>
      <c r="N272" s="1"/>
      <c r="O272" s="1"/>
      <c r="P272" s="1"/>
      <c r="Q272" s="1"/>
      <c r="R272" s="1"/>
      <c r="S272" s="1"/>
      <c r="T272" s="1"/>
      <c r="U272" s="1"/>
      <c r="V272" s="1"/>
      <c r="W272" s="1"/>
      <c r="X272" s="1"/>
      <c r="Z272" s="1"/>
      <c r="AA272" s="1"/>
      <c r="AB272" s="1"/>
      <c r="AC272" s="1"/>
      <c r="AD272" s="1"/>
      <c r="AE272" s="1"/>
      <c r="AF272" s="1"/>
      <c r="AG272" s="1"/>
      <c r="AH272" s="1"/>
      <c r="AI272" s="1"/>
      <c r="AJ272" s="1"/>
      <c r="AK272" s="1"/>
      <c r="AM272" s="1"/>
      <c r="AO272" s="1"/>
      <c r="AP272" s="1"/>
      <c r="AQ272" s="1"/>
      <c r="AR272" s="1"/>
      <c r="AS272" s="1"/>
      <c r="AT272" s="1"/>
      <c r="AU272" s="1"/>
      <c r="AV272" s="1"/>
      <c r="AW272" s="1"/>
      <c r="AX272" s="1"/>
      <c r="AY272" s="1"/>
      <c r="AZ272" s="1"/>
      <c r="BA272" s="1"/>
      <c r="BB272" s="1"/>
      <c r="BC272" s="1"/>
      <c r="BD272" s="1"/>
      <c r="BE272" s="1"/>
      <c r="BF272" s="1"/>
      <c r="BG272" s="1"/>
      <c r="BI272" s="1"/>
      <c r="BJ272" s="1"/>
      <c r="BK272" s="1"/>
      <c r="BL272" s="1"/>
      <c r="BM272" s="1"/>
      <c r="BN272" s="1"/>
      <c r="BO272" s="1"/>
      <c r="BP272" s="1"/>
      <c r="BQ272" s="1"/>
      <c r="BR272" s="1"/>
      <c r="BS272" s="1"/>
      <c r="BT272" s="1"/>
      <c r="BU272" s="1"/>
      <c r="BV272" s="1"/>
      <c r="BW272" s="1"/>
      <c r="BX272" s="1"/>
      <c r="BY272" s="1"/>
      <c r="BZ272" s="1"/>
      <c r="CA272" s="1"/>
      <c r="CB272" s="1"/>
      <c r="CC272" s="1"/>
      <c r="CE272" s="1"/>
      <c r="CF272" s="1"/>
      <c r="CG272" s="1"/>
      <c r="CH272" s="1"/>
      <c r="CI272" s="1"/>
      <c r="CJ272" s="1"/>
      <c r="CK272" s="1"/>
      <c r="CL272" s="1"/>
      <c r="CM272" s="1"/>
      <c r="CN272" s="1"/>
      <c r="CO272" s="1"/>
      <c r="CP272" s="1"/>
      <c r="CQ272" s="1"/>
      <c r="CR272" s="1"/>
      <c r="CS272" s="1"/>
      <c r="CT272" s="1"/>
      <c r="CV272" s="1"/>
      <c r="CW272" s="1"/>
      <c r="CX272" s="1"/>
      <c r="CY272" s="1"/>
      <c r="CZ272" s="1"/>
      <c r="DA272" s="1"/>
    </row>
    <row r="273" spans="1:105" s="3" customFormat="1" ht="11.25" customHeight="1" x14ac:dyDescent="0.2">
      <c r="A273" s="1">
        <v>41</v>
      </c>
      <c r="B273" s="1" t="s">
        <v>3448</v>
      </c>
      <c r="C273" s="1" t="s">
        <v>3447</v>
      </c>
      <c r="D273" s="1">
        <v>2819</v>
      </c>
      <c r="E273" s="2" t="s">
        <v>4201</v>
      </c>
      <c r="F273" s="1" t="s">
        <v>113</v>
      </c>
      <c r="G273" s="1" t="s">
        <v>190</v>
      </c>
      <c r="H273" s="1" t="s">
        <v>191</v>
      </c>
      <c r="I273" s="1" t="s">
        <v>229</v>
      </c>
      <c r="J273" s="1" t="s">
        <v>229</v>
      </c>
      <c r="L273" s="1" t="s">
        <v>111</v>
      </c>
      <c r="M273" s="1" t="s">
        <v>695</v>
      </c>
      <c r="N273" s="1" t="s">
        <v>112</v>
      </c>
      <c r="O273" s="1" t="s">
        <v>113</v>
      </c>
      <c r="P273" s="1" t="s">
        <v>113</v>
      </c>
      <c r="Q273" s="1" t="s">
        <v>111</v>
      </c>
      <c r="R273" s="1" t="s">
        <v>724</v>
      </c>
      <c r="S273" s="1" t="s">
        <v>157</v>
      </c>
      <c r="T273" s="1" t="s">
        <v>113</v>
      </c>
      <c r="U273" s="1" t="s">
        <v>157</v>
      </c>
      <c r="V273" s="1" t="s">
        <v>3449</v>
      </c>
      <c r="W273" s="1" t="s">
        <v>115</v>
      </c>
      <c r="X273" s="1" t="s">
        <v>113</v>
      </c>
      <c r="Y273" s="1" t="s">
        <v>157</v>
      </c>
      <c r="Z273" s="1">
        <v>100</v>
      </c>
      <c r="AA273" s="1" t="s">
        <v>132</v>
      </c>
      <c r="AB273" s="1" t="s">
        <v>128</v>
      </c>
      <c r="AC273" s="1" t="s">
        <v>128</v>
      </c>
      <c r="AD273" s="1">
        <v>0</v>
      </c>
      <c r="AE273" s="1" t="s">
        <v>157</v>
      </c>
      <c r="AF273" s="1">
        <v>200</v>
      </c>
      <c r="AG273" s="1" t="s">
        <v>113</v>
      </c>
      <c r="AH273" s="1">
        <v>0</v>
      </c>
      <c r="AI273" s="1">
        <v>20</v>
      </c>
      <c r="AJ273" s="1">
        <v>0</v>
      </c>
      <c r="AK273" s="1" t="s">
        <v>648</v>
      </c>
      <c r="AL273" s="1">
        <v>0</v>
      </c>
      <c r="AM273" s="1" t="s">
        <v>157</v>
      </c>
      <c r="AN273" s="1">
        <v>0</v>
      </c>
      <c r="AO273" s="1" t="s">
        <v>113</v>
      </c>
      <c r="AP273" s="1" t="s">
        <v>113</v>
      </c>
      <c r="AQ273" s="1" t="s">
        <v>157</v>
      </c>
      <c r="AR273" s="1" t="s">
        <v>157</v>
      </c>
      <c r="AS273" s="1" t="s">
        <v>157</v>
      </c>
      <c r="AT273" s="1" t="s">
        <v>650</v>
      </c>
      <c r="AU273" s="1" t="s">
        <v>106</v>
      </c>
      <c r="AV273" s="1" t="s">
        <v>113</v>
      </c>
      <c r="AW273" s="1" t="s">
        <v>164</v>
      </c>
      <c r="AX273" s="1" t="s">
        <v>165</v>
      </c>
      <c r="AY273" s="1">
        <v>50</v>
      </c>
      <c r="AZ273" s="1" t="s">
        <v>113</v>
      </c>
      <c r="BA273" s="1" t="s">
        <v>113</v>
      </c>
      <c r="BB273" s="1" t="s">
        <v>125</v>
      </c>
      <c r="BC273" s="1" t="s">
        <v>166</v>
      </c>
      <c r="BD273" s="1">
        <v>0</v>
      </c>
      <c r="BE273" s="1">
        <v>100</v>
      </c>
      <c r="BF273" s="1" t="s">
        <v>167</v>
      </c>
      <c r="BG273" s="1" t="s">
        <v>116</v>
      </c>
      <c r="BH273" s="1" t="s">
        <v>168</v>
      </c>
      <c r="BI273" s="1" t="s">
        <v>569</v>
      </c>
      <c r="BJ273" s="1" t="s">
        <v>208</v>
      </c>
      <c r="BK273" s="1">
        <v>90</v>
      </c>
      <c r="BL273" s="1" t="s">
        <v>270</v>
      </c>
      <c r="BM273" s="1" t="s">
        <v>210</v>
      </c>
      <c r="BN273" s="1" t="s">
        <v>276</v>
      </c>
      <c r="BO273" s="1">
        <v>4</v>
      </c>
      <c r="BP273" s="1" t="s">
        <v>115</v>
      </c>
      <c r="BQ273" s="1" t="s">
        <v>704</v>
      </c>
      <c r="BR273" s="1" t="s">
        <v>3450</v>
      </c>
      <c r="BS273" s="1" t="s">
        <v>3451</v>
      </c>
      <c r="BT273" s="1" t="s">
        <v>172</v>
      </c>
      <c r="BU273" s="1" t="s">
        <v>132</v>
      </c>
      <c r="BV273" s="1" t="s">
        <v>3452</v>
      </c>
      <c r="BW273" s="1" t="s">
        <v>134</v>
      </c>
      <c r="BX273" s="1" t="s">
        <v>325</v>
      </c>
      <c r="BY273" s="1" t="s">
        <v>299</v>
      </c>
      <c r="BZ273" s="1" t="s">
        <v>157</v>
      </c>
      <c r="CA273" s="1">
        <v>150</v>
      </c>
      <c r="CB273" s="1" t="s">
        <v>244</v>
      </c>
      <c r="CC273" s="1" t="s">
        <v>217</v>
      </c>
      <c r="CD273" s="1" t="s">
        <v>3453</v>
      </c>
      <c r="CE273" s="1" t="s">
        <v>219</v>
      </c>
      <c r="CF273" s="1">
        <v>50000</v>
      </c>
      <c r="CG273" s="1">
        <v>350000</v>
      </c>
      <c r="CH273" s="1">
        <v>0</v>
      </c>
      <c r="CI273" s="1">
        <v>0</v>
      </c>
      <c r="CJ273" s="1">
        <v>0</v>
      </c>
      <c r="CK273" s="1">
        <v>50</v>
      </c>
      <c r="CL273" s="1">
        <v>50</v>
      </c>
      <c r="CM273" s="1">
        <v>50</v>
      </c>
      <c r="CN273" s="1">
        <v>50</v>
      </c>
      <c r="CO273" s="5" t="s">
        <v>220</v>
      </c>
      <c r="CP273" s="5" t="s">
        <v>220</v>
      </c>
      <c r="CQ273" s="5" t="s">
        <v>220</v>
      </c>
      <c r="CR273" s="1" t="s">
        <v>139</v>
      </c>
      <c r="CS273" s="1" t="s">
        <v>308</v>
      </c>
      <c r="CT273" s="1" t="s">
        <v>3454</v>
      </c>
      <c r="CV273" s="1" t="s">
        <v>3455</v>
      </c>
      <c r="CW273" s="1" t="s">
        <v>251</v>
      </c>
      <c r="CX273" s="1" t="s">
        <v>157</v>
      </c>
      <c r="CY273" s="1" t="s">
        <v>276</v>
      </c>
      <c r="CZ273" s="1" t="s">
        <v>144</v>
      </c>
      <c r="DA273" s="1" t="s">
        <v>145</v>
      </c>
    </row>
    <row r="274" spans="1:105" s="3" customFormat="1" ht="11.25" customHeight="1" x14ac:dyDescent="0.2">
      <c r="A274" s="1">
        <v>41</v>
      </c>
      <c r="B274" s="1" t="s">
        <v>3457</v>
      </c>
      <c r="C274" s="1" t="s">
        <v>3456</v>
      </c>
      <c r="D274" s="1">
        <v>6707</v>
      </c>
      <c r="E274" s="2" t="s">
        <v>4201</v>
      </c>
      <c r="F274" s="1" t="s">
        <v>106</v>
      </c>
      <c r="G274" s="1" t="s">
        <v>1664</v>
      </c>
      <c r="H274" s="1" t="s">
        <v>2372</v>
      </c>
      <c r="I274" s="1" t="s">
        <v>3458</v>
      </c>
      <c r="J274" s="1" t="s">
        <v>106</v>
      </c>
      <c r="K274" s="1" t="s">
        <v>2372</v>
      </c>
      <c r="L274" s="1" t="s">
        <v>2715</v>
      </c>
      <c r="M274" s="1" t="s">
        <v>191</v>
      </c>
      <c r="N274" s="1" t="s">
        <v>112</v>
      </c>
      <c r="O274" s="1" t="s">
        <v>106</v>
      </c>
      <c r="P274" s="1" t="s">
        <v>113</v>
      </c>
      <c r="Q274" s="1" t="s">
        <v>195</v>
      </c>
      <c r="R274" s="1" t="s">
        <v>3459</v>
      </c>
      <c r="S274" s="1" t="s">
        <v>114</v>
      </c>
      <c r="T274" s="1" t="s">
        <v>106</v>
      </c>
      <c r="U274" s="1" t="s">
        <v>3460</v>
      </c>
      <c r="V274" s="1" t="s">
        <v>2567</v>
      </c>
      <c r="W274" s="1" t="s">
        <v>755</v>
      </c>
      <c r="Z274" s="1">
        <v>100</v>
      </c>
      <c r="AA274" s="1" t="s">
        <v>159</v>
      </c>
      <c r="AB274" s="1" t="s">
        <v>128</v>
      </c>
      <c r="AC274" s="1" t="s">
        <v>118</v>
      </c>
      <c r="AD274" s="1">
        <v>40</v>
      </c>
      <c r="AE274" s="1" t="s">
        <v>159</v>
      </c>
      <c r="AF274" s="1">
        <v>882</v>
      </c>
      <c r="AG274" s="1" t="s">
        <v>113</v>
      </c>
      <c r="AH274" s="1">
        <v>75</v>
      </c>
      <c r="AI274" s="1">
        <v>15</v>
      </c>
      <c r="AJ274" s="1">
        <v>10</v>
      </c>
      <c r="AK274" s="1" t="s">
        <v>1002</v>
      </c>
      <c r="AL274" s="1">
        <v>48</v>
      </c>
      <c r="AM274" s="1" t="s">
        <v>3461</v>
      </c>
      <c r="AN274" s="1">
        <v>0</v>
      </c>
      <c r="AO274" s="1" t="s">
        <v>113</v>
      </c>
      <c r="AP274" s="1" t="s">
        <v>113</v>
      </c>
      <c r="AQ274" s="1" t="s">
        <v>157</v>
      </c>
      <c r="AR274" s="1" t="s">
        <v>157</v>
      </c>
      <c r="AS274" s="1" t="s">
        <v>157</v>
      </c>
      <c r="AT274" s="1" t="s">
        <v>123</v>
      </c>
      <c r="AU274" s="1" t="s">
        <v>106</v>
      </c>
      <c r="AV274" s="1" t="s">
        <v>113</v>
      </c>
      <c r="AW274" s="1" t="s">
        <v>164</v>
      </c>
      <c r="AX274" s="1" t="s">
        <v>165</v>
      </c>
      <c r="AY274" s="1">
        <v>0</v>
      </c>
      <c r="AZ274" s="1" t="s">
        <v>113</v>
      </c>
      <c r="BA274" s="1" t="s">
        <v>113</v>
      </c>
      <c r="BB274" s="1" t="s">
        <v>125</v>
      </c>
      <c r="BC274" s="1" t="s">
        <v>166</v>
      </c>
      <c r="BD274" s="1">
        <v>0</v>
      </c>
      <c r="BE274" s="1">
        <v>100</v>
      </c>
      <c r="BF274" s="1" t="s">
        <v>167</v>
      </c>
      <c r="BG274" s="1" t="s">
        <v>780</v>
      </c>
      <c r="BH274" s="1" t="s">
        <v>1605</v>
      </c>
      <c r="BI274" s="1" t="s">
        <v>1605</v>
      </c>
      <c r="BJ274" s="1" t="s">
        <v>384</v>
      </c>
      <c r="BK274" s="1">
        <v>60</v>
      </c>
      <c r="BL274" s="1" t="s">
        <v>270</v>
      </c>
      <c r="BM274" s="1" t="s">
        <v>781</v>
      </c>
      <c r="BN274" s="1" t="s">
        <v>276</v>
      </c>
      <c r="BO274" s="1" t="s">
        <v>276</v>
      </c>
      <c r="BP274" s="1" t="s">
        <v>124</v>
      </c>
      <c r="BQ274" s="1" t="s">
        <v>1942</v>
      </c>
      <c r="BR274" s="1" t="s">
        <v>3462</v>
      </c>
      <c r="BS274" s="1" t="s">
        <v>3463</v>
      </c>
      <c r="BT274" s="1" t="s">
        <v>172</v>
      </c>
      <c r="BU274" s="1" t="s">
        <v>1239</v>
      </c>
      <c r="BV274" s="1" t="s">
        <v>3464</v>
      </c>
      <c r="BW274" s="1" t="s">
        <v>134</v>
      </c>
      <c r="BX274" s="1" t="s">
        <v>325</v>
      </c>
      <c r="BY274" s="1" t="s">
        <v>241</v>
      </c>
      <c r="BZ274" s="1" t="s">
        <v>157</v>
      </c>
      <c r="CA274" s="1">
        <v>882</v>
      </c>
      <c r="CB274" s="1" t="s">
        <v>176</v>
      </c>
      <c r="CC274" s="1" t="s">
        <v>301</v>
      </c>
      <c r="CE274" s="1" t="s">
        <v>458</v>
      </c>
      <c r="CF274" s="1">
        <v>44237.46</v>
      </c>
      <c r="CG274" s="1">
        <v>386715.62</v>
      </c>
      <c r="CH274" s="1">
        <v>2.2799999999999998</v>
      </c>
      <c r="CI274" s="1">
        <v>23.6</v>
      </c>
      <c r="CJ274" s="1">
        <v>18.62</v>
      </c>
      <c r="CK274" s="1">
        <v>14.76</v>
      </c>
      <c r="CL274" s="1">
        <v>0</v>
      </c>
      <c r="CM274" s="1">
        <v>0</v>
      </c>
      <c r="CN274" s="1">
        <v>0</v>
      </c>
      <c r="CO274" s="1">
        <v>0</v>
      </c>
      <c r="CP274" s="1">
        <v>0</v>
      </c>
      <c r="CQ274" s="1">
        <v>0</v>
      </c>
      <c r="CR274" s="1" t="s">
        <v>139</v>
      </c>
      <c r="CS274" s="1" t="s">
        <v>140</v>
      </c>
      <c r="CT274" s="1" t="s">
        <v>3465</v>
      </c>
      <c r="CV274" s="1" t="s">
        <v>310</v>
      </c>
      <c r="CW274" s="1" t="s">
        <v>251</v>
      </c>
      <c r="CX274" s="1" t="s">
        <v>3465</v>
      </c>
      <c r="CY274" s="1" t="s">
        <v>276</v>
      </c>
      <c r="CZ274" s="1" t="s">
        <v>144</v>
      </c>
      <c r="DA274" s="1" t="s">
        <v>145</v>
      </c>
    </row>
    <row r="275" spans="1:105" s="3" customFormat="1" ht="11.25" customHeight="1" x14ac:dyDescent="0.2">
      <c r="A275" s="1">
        <v>41</v>
      </c>
      <c r="B275" s="1" t="s">
        <v>3467</v>
      </c>
      <c r="C275" s="1" t="s">
        <v>3466</v>
      </c>
      <c r="D275" s="1">
        <v>30472</v>
      </c>
      <c r="E275" s="2" t="s">
        <v>4201</v>
      </c>
      <c r="F275" s="1" t="s">
        <v>113</v>
      </c>
      <c r="G275" s="1" t="s">
        <v>190</v>
      </c>
      <c r="H275" s="1" t="s">
        <v>1146</v>
      </c>
      <c r="I275" s="1" t="s">
        <v>229</v>
      </c>
      <c r="J275" s="1" t="s">
        <v>229</v>
      </c>
      <c r="K275" s="1" t="s">
        <v>1146</v>
      </c>
      <c r="L275" s="1" t="s">
        <v>111</v>
      </c>
      <c r="M275" s="1" t="s">
        <v>230</v>
      </c>
      <c r="N275" s="1" t="s">
        <v>112</v>
      </c>
      <c r="O275" s="1" t="s">
        <v>113</v>
      </c>
      <c r="P275" s="1" t="s">
        <v>113</v>
      </c>
      <c r="Q275" s="1" t="s">
        <v>195</v>
      </c>
      <c r="R275" s="1" t="s">
        <v>3468</v>
      </c>
      <c r="S275" s="1" t="s">
        <v>191</v>
      </c>
      <c r="T275" s="1" t="s">
        <v>106</v>
      </c>
      <c r="U275" s="1" t="s">
        <v>3469</v>
      </c>
      <c r="V275" s="1" t="s">
        <v>566</v>
      </c>
      <c r="W275" s="1" t="s">
        <v>115</v>
      </c>
      <c r="X275" s="1" t="s">
        <v>113</v>
      </c>
      <c r="Y275" s="1" t="s">
        <v>157</v>
      </c>
      <c r="Z275" s="1">
        <v>100</v>
      </c>
      <c r="AA275" s="1" t="s">
        <v>116</v>
      </c>
      <c r="AB275" s="1" t="s">
        <v>128</v>
      </c>
      <c r="AC275" s="1" t="s">
        <v>118</v>
      </c>
      <c r="AD275" s="1">
        <v>10</v>
      </c>
      <c r="AE275" s="1" t="s">
        <v>116</v>
      </c>
      <c r="AF275" s="1">
        <v>4680</v>
      </c>
      <c r="AG275" s="1" t="s">
        <v>106</v>
      </c>
      <c r="AH275" s="1">
        <v>44</v>
      </c>
      <c r="AI275" s="1">
        <v>31</v>
      </c>
      <c r="AJ275" s="1">
        <v>24</v>
      </c>
      <c r="AK275" s="1" t="s">
        <v>232</v>
      </c>
      <c r="AL275" s="1">
        <v>1008</v>
      </c>
      <c r="AM275" s="1" t="s">
        <v>3470</v>
      </c>
      <c r="AO275" s="1" t="s">
        <v>113</v>
      </c>
      <c r="AP275" s="1" t="s">
        <v>113</v>
      </c>
      <c r="AQ275" s="1" t="s">
        <v>157</v>
      </c>
      <c r="AR275" s="1" t="s">
        <v>3471</v>
      </c>
      <c r="AS275" s="1" t="s">
        <v>157</v>
      </c>
      <c r="AT275" s="1" t="s">
        <v>123</v>
      </c>
      <c r="AU275" s="1" t="s">
        <v>106</v>
      </c>
      <c r="AV275" s="1" t="s">
        <v>113</v>
      </c>
      <c r="AW275" s="1" t="s">
        <v>124</v>
      </c>
      <c r="AX275" s="1" t="s">
        <v>165</v>
      </c>
      <c r="AY275" s="1">
        <v>72</v>
      </c>
      <c r="AZ275" s="1" t="s">
        <v>113</v>
      </c>
      <c r="BA275" s="1" t="s">
        <v>113</v>
      </c>
      <c r="BB275" s="1" t="s">
        <v>125</v>
      </c>
      <c r="BC275" s="1" t="s">
        <v>166</v>
      </c>
      <c r="BD275" s="1">
        <v>100</v>
      </c>
      <c r="BE275" s="1">
        <v>100</v>
      </c>
      <c r="BF275" s="1" t="s">
        <v>167</v>
      </c>
      <c r="BG275" s="1" t="s">
        <v>116</v>
      </c>
      <c r="BH275" s="1" t="s">
        <v>168</v>
      </c>
      <c r="BI275" s="1" t="s">
        <v>168</v>
      </c>
      <c r="BJ275" s="1" t="s">
        <v>208</v>
      </c>
      <c r="BK275" s="1">
        <v>10</v>
      </c>
      <c r="BL275" s="1" t="s">
        <v>533</v>
      </c>
      <c r="BM275" s="1" t="s">
        <v>114</v>
      </c>
      <c r="BN275" s="1" t="s">
        <v>143</v>
      </c>
      <c r="BO275" s="1" t="s">
        <v>143</v>
      </c>
      <c r="BP275" s="1" t="s">
        <v>124</v>
      </c>
      <c r="BQ275" s="1" t="s">
        <v>695</v>
      </c>
      <c r="BR275" s="1" t="s">
        <v>3472</v>
      </c>
      <c r="BS275" s="1" t="s">
        <v>3473</v>
      </c>
      <c r="BT275" s="1" t="s">
        <v>172</v>
      </c>
      <c r="BU275" s="1" t="s">
        <v>239</v>
      </c>
      <c r="BV275" s="1" t="s">
        <v>1597</v>
      </c>
      <c r="BW275" s="1" t="s">
        <v>298</v>
      </c>
      <c r="BX275" s="1" t="s">
        <v>767</v>
      </c>
      <c r="BY275" s="1" t="s">
        <v>241</v>
      </c>
      <c r="BZ275" s="1" t="s">
        <v>157</v>
      </c>
      <c r="CA275" s="1">
        <v>25000</v>
      </c>
      <c r="CB275" s="1" t="s">
        <v>244</v>
      </c>
      <c r="CC275" s="1" t="s">
        <v>177</v>
      </c>
      <c r="CE275" s="1" t="s">
        <v>179</v>
      </c>
      <c r="CF275" s="1">
        <v>655241</v>
      </c>
      <c r="CG275" s="1">
        <v>123926</v>
      </c>
      <c r="CH275" s="1">
        <v>12396</v>
      </c>
      <c r="CI275" s="5" t="s">
        <v>220</v>
      </c>
      <c r="CJ275" s="1">
        <v>150000</v>
      </c>
      <c r="CK275" s="1">
        <v>3387</v>
      </c>
      <c r="CL275" s="1">
        <v>3387</v>
      </c>
      <c r="CM275" s="1">
        <v>33871</v>
      </c>
      <c r="CN275" s="1">
        <v>0</v>
      </c>
      <c r="CO275" s="1">
        <v>0</v>
      </c>
      <c r="CP275" s="1">
        <v>0</v>
      </c>
      <c r="CQ275" s="1">
        <v>0</v>
      </c>
      <c r="CR275" s="1" t="s">
        <v>139</v>
      </c>
      <c r="CS275" s="1" t="s">
        <v>140</v>
      </c>
      <c r="CT275" s="1" t="s">
        <v>3474</v>
      </c>
      <c r="CV275" s="1" t="s">
        <v>3475</v>
      </c>
      <c r="CW275" s="1" t="s">
        <v>284</v>
      </c>
      <c r="CX275" s="1" t="s">
        <v>3476</v>
      </c>
      <c r="CY275" s="1" t="s">
        <v>276</v>
      </c>
      <c r="CZ275" s="1" t="s">
        <v>144</v>
      </c>
      <c r="DA275" s="1" t="s">
        <v>145</v>
      </c>
    </row>
    <row r="276" spans="1:105" s="3" customFormat="1" ht="11.25" customHeight="1" x14ac:dyDescent="0.2">
      <c r="A276" s="1">
        <v>41</v>
      </c>
      <c r="B276" s="1" t="s">
        <v>3477</v>
      </c>
      <c r="C276" s="1" t="s">
        <v>2091</v>
      </c>
      <c r="D276" s="1">
        <v>24000</v>
      </c>
      <c r="E276" s="2" t="s">
        <v>4201</v>
      </c>
      <c r="F276" s="1" t="s">
        <v>113</v>
      </c>
      <c r="H276" s="1" t="s">
        <v>3478</v>
      </c>
      <c r="I276" s="1" t="s">
        <v>193</v>
      </c>
      <c r="J276" s="1" t="s">
        <v>229</v>
      </c>
      <c r="L276" s="1" t="s">
        <v>111</v>
      </c>
      <c r="M276" s="1" t="s">
        <v>3478</v>
      </c>
      <c r="N276" s="1" t="s">
        <v>2226</v>
      </c>
      <c r="O276" s="1" t="s">
        <v>106</v>
      </c>
      <c r="P276" s="1" t="s">
        <v>113</v>
      </c>
      <c r="Q276" s="1" t="s">
        <v>111</v>
      </c>
      <c r="R276" s="1" t="s">
        <v>3478</v>
      </c>
      <c r="S276" s="1" t="s">
        <v>3478</v>
      </c>
      <c r="T276" s="1" t="s">
        <v>106</v>
      </c>
      <c r="U276" s="1" t="s">
        <v>157</v>
      </c>
      <c r="W276" s="1" t="s">
        <v>115</v>
      </c>
      <c r="X276" s="1" t="s">
        <v>113</v>
      </c>
      <c r="Y276" s="1" t="s">
        <v>157</v>
      </c>
      <c r="Z276" s="1">
        <v>100</v>
      </c>
      <c r="AA276" s="1" t="s">
        <v>132</v>
      </c>
      <c r="AB276" s="1" t="s">
        <v>117</v>
      </c>
      <c r="AC276" s="1" t="s">
        <v>118</v>
      </c>
      <c r="AD276" s="1">
        <v>80</v>
      </c>
      <c r="AE276" s="1" t="s">
        <v>132</v>
      </c>
      <c r="AF276" s="1">
        <v>3800</v>
      </c>
      <c r="AG276" s="1" t="s">
        <v>113</v>
      </c>
      <c r="AH276" s="1">
        <v>0</v>
      </c>
      <c r="AI276" s="1">
        <v>0</v>
      </c>
      <c r="AJ276" s="1">
        <v>0</v>
      </c>
      <c r="AK276" s="1" t="s">
        <v>232</v>
      </c>
      <c r="AL276" s="1">
        <v>0</v>
      </c>
      <c r="AM276" s="1" t="s">
        <v>120</v>
      </c>
      <c r="AN276" s="1">
        <v>0</v>
      </c>
      <c r="AO276" s="1" t="s">
        <v>113</v>
      </c>
      <c r="AP276" s="1" t="s">
        <v>106</v>
      </c>
      <c r="AQ276" s="1" t="s">
        <v>157</v>
      </c>
      <c r="AR276" s="1" t="s">
        <v>3479</v>
      </c>
      <c r="AS276" s="1" t="s">
        <v>3480</v>
      </c>
      <c r="AT276" s="1" t="s">
        <v>123</v>
      </c>
      <c r="AU276" s="1" t="s">
        <v>106</v>
      </c>
      <c r="AV276" s="1" t="s">
        <v>113</v>
      </c>
      <c r="AW276" s="1" t="s">
        <v>164</v>
      </c>
      <c r="AX276" s="1" t="s">
        <v>165</v>
      </c>
      <c r="AY276" s="1">
        <v>0</v>
      </c>
      <c r="AZ276" s="1" t="s">
        <v>113</v>
      </c>
      <c r="BA276" s="1" t="s">
        <v>113</v>
      </c>
      <c r="BB276" s="1" t="s">
        <v>125</v>
      </c>
      <c r="BC276" s="1" t="s">
        <v>166</v>
      </c>
      <c r="BD276" s="1">
        <v>0</v>
      </c>
      <c r="BE276" s="1">
        <v>100</v>
      </c>
      <c r="BF276" s="1" t="s">
        <v>630</v>
      </c>
      <c r="BG276" s="1" t="s">
        <v>132</v>
      </c>
      <c r="BH276" s="1" t="s">
        <v>168</v>
      </c>
      <c r="BI276" s="1" t="s">
        <v>168</v>
      </c>
      <c r="BJ276" s="1" t="s">
        <v>384</v>
      </c>
      <c r="BK276" s="1">
        <v>80</v>
      </c>
      <c r="BL276" s="1" t="s">
        <v>294</v>
      </c>
      <c r="BM276" s="1" t="s">
        <v>472</v>
      </c>
      <c r="BN276" s="1" t="s">
        <v>276</v>
      </c>
      <c r="BO276" s="1">
        <v>0</v>
      </c>
      <c r="BP276" s="1" t="s">
        <v>947</v>
      </c>
      <c r="BQ276" s="1" t="s">
        <v>3478</v>
      </c>
      <c r="BR276" s="1" t="s">
        <v>3480</v>
      </c>
      <c r="BS276" s="1" t="s">
        <v>3479</v>
      </c>
      <c r="BT276" s="1" t="s">
        <v>131</v>
      </c>
      <c r="BU276" s="1" t="s">
        <v>132</v>
      </c>
      <c r="BV276" s="1" t="s">
        <v>174</v>
      </c>
      <c r="BW276" s="1" t="s">
        <v>134</v>
      </c>
      <c r="BX276" s="1" t="s">
        <v>3481</v>
      </c>
      <c r="BY276" s="1" t="s">
        <v>135</v>
      </c>
      <c r="BZ276" s="1" t="s">
        <v>157</v>
      </c>
      <c r="CA276" s="1">
        <v>3800</v>
      </c>
      <c r="CB276" s="1" t="s">
        <v>176</v>
      </c>
      <c r="CC276" s="1" t="s">
        <v>177</v>
      </c>
      <c r="CE276" s="1" t="s">
        <v>219</v>
      </c>
      <c r="CF276" s="1">
        <v>0</v>
      </c>
      <c r="CG276" s="1">
        <v>0</v>
      </c>
      <c r="CH276" s="1">
        <v>0</v>
      </c>
      <c r="CI276" s="1">
        <v>0</v>
      </c>
      <c r="CJ276" s="1">
        <v>0</v>
      </c>
      <c r="CK276" s="1">
        <v>0</v>
      </c>
      <c r="CL276" s="1">
        <v>0</v>
      </c>
      <c r="CM276" s="1">
        <v>0</v>
      </c>
      <c r="CN276" s="1">
        <v>0</v>
      </c>
      <c r="CO276" s="1">
        <v>0</v>
      </c>
      <c r="CP276" s="1">
        <v>0</v>
      </c>
      <c r="CQ276" s="1">
        <v>0</v>
      </c>
      <c r="CR276" s="1" t="s">
        <v>139</v>
      </c>
      <c r="CS276" s="1" t="s">
        <v>308</v>
      </c>
      <c r="CT276" s="1" t="s">
        <v>3482</v>
      </c>
      <c r="CV276" s="1" t="s">
        <v>439</v>
      </c>
      <c r="CW276" s="1" t="s">
        <v>251</v>
      </c>
      <c r="CX276" s="1" t="s">
        <v>157</v>
      </c>
      <c r="CY276" s="1" t="s">
        <v>157</v>
      </c>
      <c r="CZ276" s="1" t="s">
        <v>144</v>
      </c>
      <c r="DA276" s="1" t="s">
        <v>145</v>
      </c>
    </row>
    <row r="277" spans="1:105" s="3" customFormat="1" ht="11.25" customHeight="1" x14ac:dyDescent="0.2">
      <c r="A277" s="1">
        <v>41</v>
      </c>
      <c r="B277" s="1" t="s">
        <v>3484</v>
      </c>
      <c r="C277" s="1" t="s">
        <v>3483</v>
      </c>
      <c r="D277" s="1">
        <v>124934</v>
      </c>
      <c r="E277" s="2" t="s">
        <v>4201</v>
      </c>
      <c r="F277" s="1" t="s">
        <v>106</v>
      </c>
      <c r="G277" s="1" t="s">
        <v>107</v>
      </c>
      <c r="H277" s="1" t="s">
        <v>108</v>
      </c>
      <c r="I277" s="1" t="s">
        <v>109</v>
      </c>
      <c r="J277" s="1" t="s">
        <v>106</v>
      </c>
      <c r="K277" s="1" t="s">
        <v>110</v>
      </c>
      <c r="L277" s="1" t="s">
        <v>111</v>
      </c>
      <c r="M277" s="1" t="s">
        <v>465</v>
      </c>
      <c r="N277" s="1" t="s">
        <v>112</v>
      </c>
      <c r="O277" s="1" t="s">
        <v>106</v>
      </c>
      <c r="P277" s="1" t="s">
        <v>113</v>
      </c>
      <c r="Q277" s="1" t="s">
        <v>195</v>
      </c>
      <c r="R277" s="1" t="s">
        <v>3485</v>
      </c>
      <c r="S277" s="1" t="s">
        <v>114</v>
      </c>
      <c r="T277" s="1" t="s">
        <v>113</v>
      </c>
      <c r="U277" s="1" t="s">
        <v>3486</v>
      </c>
      <c r="V277" s="1" t="s">
        <v>3487</v>
      </c>
      <c r="W277" s="1" t="s">
        <v>115</v>
      </c>
      <c r="X277" s="1" t="s">
        <v>113</v>
      </c>
      <c r="Y277" s="1" t="s">
        <v>114</v>
      </c>
      <c r="Z277" s="1">
        <v>100</v>
      </c>
      <c r="AA277" s="1" t="s">
        <v>132</v>
      </c>
      <c r="AB277" s="1" t="s">
        <v>117</v>
      </c>
      <c r="AC277" s="1" t="s">
        <v>118</v>
      </c>
      <c r="AD277" s="1">
        <v>75</v>
      </c>
      <c r="AE277" s="1" t="s">
        <v>132</v>
      </c>
      <c r="AF277" s="1">
        <v>22500</v>
      </c>
      <c r="AG277" s="1" t="s">
        <v>113</v>
      </c>
      <c r="AH277" s="1">
        <v>0</v>
      </c>
      <c r="AI277" s="1">
        <v>0</v>
      </c>
      <c r="AJ277" s="1">
        <v>0</v>
      </c>
      <c r="AK277" s="1" t="s">
        <v>232</v>
      </c>
      <c r="AM277" s="1" t="s">
        <v>120</v>
      </c>
      <c r="AO277" s="1" t="s">
        <v>113</v>
      </c>
      <c r="AP277" s="1" t="s">
        <v>106</v>
      </c>
      <c r="AQ277" s="1" t="s">
        <v>114</v>
      </c>
      <c r="AR277" s="1" t="s">
        <v>3488</v>
      </c>
      <c r="AS277" s="1" t="s">
        <v>3489</v>
      </c>
      <c r="AT277" s="1" t="s">
        <v>123</v>
      </c>
      <c r="AU277" s="1" t="s">
        <v>106</v>
      </c>
      <c r="AV277" s="1" t="s">
        <v>113</v>
      </c>
      <c r="AW277" s="1" t="s">
        <v>234</v>
      </c>
      <c r="AX277" s="1" t="s">
        <v>1113</v>
      </c>
      <c r="AY277" s="1">
        <v>10000</v>
      </c>
      <c r="AZ277" s="1" t="s">
        <v>113</v>
      </c>
      <c r="BA277" s="1" t="s">
        <v>113</v>
      </c>
      <c r="BB277" s="1" t="s">
        <v>125</v>
      </c>
      <c r="BD277" s="1">
        <v>0</v>
      </c>
      <c r="BE277" s="1">
        <v>100</v>
      </c>
      <c r="BF277" s="1" t="s">
        <v>167</v>
      </c>
      <c r="BG277" s="1" t="s">
        <v>132</v>
      </c>
      <c r="BH277" s="1" t="s">
        <v>168</v>
      </c>
      <c r="BI277" s="1" t="s">
        <v>169</v>
      </c>
      <c r="BJ277" s="1" t="s">
        <v>208</v>
      </c>
      <c r="BK277" s="1">
        <v>75</v>
      </c>
      <c r="BL277" s="1" t="s">
        <v>167</v>
      </c>
      <c r="BM277" s="1" t="s">
        <v>472</v>
      </c>
      <c r="BN277" s="1" t="s">
        <v>143</v>
      </c>
      <c r="BP277" s="1" t="s">
        <v>115</v>
      </c>
      <c r="BQ277" s="1" t="s">
        <v>110</v>
      </c>
      <c r="BR277" s="1" t="s">
        <v>3490</v>
      </c>
      <c r="BS277" s="1" t="s">
        <v>130</v>
      </c>
      <c r="BT277" s="1" t="s">
        <v>131</v>
      </c>
      <c r="BU277" s="1" t="s">
        <v>132</v>
      </c>
      <c r="BV277" s="1" t="s">
        <v>3491</v>
      </c>
      <c r="BW277" s="1" t="s">
        <v>134</v>
      </c>
      <c r="BX277" s="1" t="s">
        <v>325</v>
      </c>
      <c r="BY277" s="1" t="s">
        <v>454</v>
      </c>
      <c r="BZ277" s="1" t="s">
        <v>114</v>
      </c>
      <c r="CA277" s="1">
        <v>22550</v>
      </c>
      <c r="CB277" s="1" t="s">
        <v>176</v>
      </c>
      <c r="CC277" s="1" t="s">
        <v>177</v>
      </c>
      <c r="CD277" s="1" t="s">
        <v>3492</v>
      </c>
      <c r="CE277" s="1" t="s">
        <v>219</v>
      </c>
      <c r="CF277" s="1">
        <v>14887096.83</v>
      </c>
      <c r="CG277" s="1">
        <v>12119332.74</v>
      </c>
      <c r="CH277" s="1">
        <v>5844593.2599999998</v>
      </c>
      <c r="CI277" s="1">
        <v>1476503.15</v>
      </c>
      <c r="CJ277" s="1">
        <v>2306439.65</v>
      </c>
      <c r="CK277" s="1">
        <v>1093617.1200000001</v>
      </c>
      <c r="CL277" s="1">
        <v>0</v>
      </c>
      <c r="CM277" s="1">
        <v>0</v>
      </c>
      <c r="CN277" s="1">
        <v>0</v>
      </c>
      <c r="CO277" s="1">
        <v>0</v>
      </c>
      <c r="CP277" s="1">
        <v>0</v>
      </c>
      <c r="CQ277" s="1">
        <v>0</v>
      </c>
      <c r="CR277" s="1" t="s">
        <v>139</v>
      </c>
      <c r="CS277" s="1" t="s">
        <v>140</v>
      </c>
      <c r="CT277" s="1" t="s">
        <v>313</v>
      </c>
      <c r="CV277" s="1" t="s">
        <v>313</v>
      </c>
      <c r="CW277" s="1" t="s">
        <v>251</v>
      </c>
      <c r="CX277" s="1" t="s">
        <v>114</v>
      </c>
      <c r="CY277" s="1" t="s">
        <v>143</v>
      </c>
      <c r="CZ277" s="1" t="s">
        <v>144</v>
      </c>
      <c r="DA277" s="1" t="s">
        <v>145</v>
      </c>
    </row>
    <row r="278" spans="1:105" s="3" customFormat="1" ht="11.25" customHeight="1" x14ac:dyDescent="0.2">
      <c r="A278" s="1">
        <v>41</v>
      </c>
      <c r="B278" s="1" t="s">
        <v>3493</v>
      </c>
      <c r="C278" s="1" t="s">
        <v>3494</v>
      </c>
      <c r="D278" s="1">
        <v>15255</v>
      </c>
      <c r="E278" s="2" t="s">
        <v>1688</v>
      </c>
      <c r="F278" s="1"/>
      <c r="H278" s="1"/>
      <c r="I278" s="1"/>
      <c r="J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M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6"/>
      <c r="CG278" s="6"/>
      <c r="CH278" s="1"/>
      <c r="CI278" s="1"/>
      <c r="CJ278" s="1"/>
      <c r="CK278" s="1"/>
      <c r="CL278" s="1"/>
      <c r="CM278" s="1"/>
      <c r="CN278" s="1"/>
      <c r="CO278" s="1"/>
      <c r="CP278" s="1"/>
      <c r="CQ278" s="1"/>
      <c r="CR278" s="1"/>
      <c r="CS278" s="1"/>
      <c r="CT278" s="1"/>
      <c r="CU278" s="1"/>
      <c r="CV278" s="1"/>
      <c r="CW278" s="1"/>
      <c r="CX278" s="1"/>
      <c r="CY278" s="1"/>
      <c r="CZ278" s="1"/>
      <c r="DA278" s="1"/>
    </row>
    <row r="279" spans="1:105" s="3" customFormat="1" ht="11.25" customHeight="1" x14ac:dyDescent="0.2">
      <c r="A279" s="1">
        <v>41</v>
      </c>
      <c r="B279" s="1" t="s">
        <v>3495</v>
      </c>
      <c r="C279" s="1" t="s">
        <v>1800</v>
      </c>
      <c r="D279" s="1">
        <v>34513</v>
      </c>
      <c r="E279" s="2" t="s">
        <v>4201</v>
      </c>
      <c r="F279" s="1" t="s">
        <v>113</v>
      </c>
      <c r="G279" s="1" t="s">
        <v>190</v>
      </c>
      <c r="H279" s="1" t="s">
        <v>3496</v>
      </c>
      <c r="I279" s="1" t="s">
        <v>229</v>
      </c>
      <c r="J279" s="1" t="s">
        <v>229</v>
      </c>
      <c r="K279" s="1" t="s">
        <v>3497</v>
      </c>
      <c r="L279" s="1" t="s">
        <v>111</v>
      </c>
      <c r="M279" s="1" t="s">
        <v>111</v>
      </c>
      <c r="N279" s="1" t="s">
        <v>3498</v>
      </c>
      <c r="O279" s="1" t="s">
        <v>113</v>
      </c>
      <c r="P279" s="1" t="s">
        <v>113</v>
      </c>
      <c r="Q279" s="1" t="s">
        <v>195</v>
      </c>
      <c r="R279" s="1" t="s">
        <v>3499</v>
      </c>
      <c r="S279" s="1" t="s">
        <v>114</v>
      </c>
      <c r="T279" s="1" t="s">
        <v>113</v>
      </c>
      <c r="U279" s="1" t="s">
        <v>114</v>
      </c>
      <c r="V279" s="1" t="s">
        <v>111</v>
      </c>
      <c r="W279" s="1" t="s">
        <v>115</v>
      </c>
      <c r="X279" s="1" t="s">
        <v>113</v>
      </c>
      <c r="Y279" s="1" t="s">
        <v>114</v>
      </c>
      <c r="Z279" s="1">
        <v>0</v>
      </c>
      <c r="AA279" s="1" t="s">
        <v>3500</v>
      </c>
      <c r="AB279" s="1" t="s">
        <v>128</v>
      </c>
      <c r="AC279" s="1" t="s">
        <v>128</v>
      </c>
      <c r="AD279" s="1">
        <v>0</v>
      </c>
      <c r="AE279" s="1" t="s">
        <v>114</v>
      </c>
      <c r="AF279" s="1">
        <v>0</v>
      </c>
      <c r="AG279" s="1" t="s">
        <v>113</v>
      </c>
      <c r="AH279" s="1">
        <v>0</v>
      </c>
      <c r="AI279" s="1">
        <v>0</v>
      </c>
      <c r="AJ279" s="1">
        <v>0</v>
      </c>
      <c r="AK279" s="1" t="s">
        <v>232</v>
      </c>
      <c r="AL279" s="1">
        <v>0</v>
      </c>
      <c r="AM279" s="1" t="s">
        <v>3501</v>
      </c>
      <c r="AN279" s="1">
        <v>0</v>
      </c>
      <c r="AO279" s="1" t="s">
        <v>113</v>
      </c>
      <c r="AP279" s="1" t="s">
        <v>113</v>
      </c>
      <c r="AQ279" s="1" t="s">
        <v>114</v>
      </c>
      <c r="AR279" s="1" t="s">
        <v>114</v>
      </c>
      <c r="AS279" s="1" t="s">
        <v>114</v>
      </c>
      <c r="AT279" s="1" t="s">
        <v>123</v>
      </c>
      <c r="AU279" s="1" t="s">
        <v>113</v>
      </c>
      <c r="AV279" s="1" t="s">
        <v>113</v>
      </c>
      <c r="AW279" s="1" t="s">
        <v>124</v>
      </c>
      <c r="AX279" s="1" t="s">
        <v>165</v>
      </c>
      <c r="AY279" s="1">
        <v>0</v>
      </c>
      <c r="AZ279" s="1" t="s">
        <v>113</v>
      </c>
      <c r="BA279" s="1" t="s">
        <v>113</v>
      </c>
      <c r="BB279" s="1" t="s">
        <v>125</v>
      </c>
      <c r="BC279" s="1" t="s">
        <v>166</v>
      </c>
      <c r="BD279" s="1">
        <v>0</v>
      </c>
      <c r="BE279" s="1">
        <v>100</v>
      </c>
      <c r="BF279" s="1" t="s">
        <v>167</v>
      </c>
      <c r="BG279" s="1" t="s">
        <v>132</v>
      </c>
      <c r="BH279" s="1" t="s">
        <v>168</v>
      </c>
      <c r="BI279" s="1" t="s">
        <v>269</v>
      </c>
      <c r="BJ279" s="1" t="s">
        <v>128</v>
      </c>
      <c r="BK279" s="1">
        <v>0</v>
      </c>
      <c r="BL279" s="1" t="s">
        <v>127</v>
      </c>
      <c r="BM279" s="1" t="s">
        <v>114</v>
      </c>
      <c r="BN279" s="1" t="s">
        <v>143</v>
      </c>
      <c r="BO279" s="1">
        <v>18</v>
      </c>
      <c r="BP279" s="1" t="s">
        <v>124</v>
      </c>
      <c r="BQ279" s="1" t="s">
        <v>143</v>
      </c>
      <c r="BR279" s="1" t="s">
        <v>143</v>
      </c>
      <c r="BS279" s="1" t="s">
        <v>3502</v>
      </c>
      <c r="BT279" s="1" t="s">
        <v>172</v>
      </c>
      <c r="BU279" s="1" t="s">
        <v>239</v>
      </c>
      <c r="BV279" s="1" t="s">
        <v>3503</v>
      </c>
      <c r="BW279" s="1" t="s">
        <v>134</v>
      </c>
      <c r="BX279" s="1" t="s">
        <v>3504</v>
      </c>
      <c r="BY279" s="1" t="s">
        <v>299</v>
      </c>
      <c r="BZ279" s="1">
        <v>301626</v>
      </c>
      <c r="CA279" s="1">
        <v>0</v>
      </c>
      <c r="CB279" s="1" t="s">
        <v>176</v>
      </c>
      <c r="CC279" s="1" t="s">
        <v>301</v>
      </c>
      <c r="CD279" s="1" t="s">
        <v>3505</v>
      </c>
      <c r="CE279" s="1" t="s">
        <v>179</v>
      </c>
      <c r="CF279" s="1">
        <v>1789646.93</v>
      </c>
      <c r="CG279" s="1">
        <v>2156360.66</v>
      </c>
      <c r="CH279" s="1" t="s">
        <v>373</v>
      </c>
      <c r="CI279" s="1">
        <v>0</v>
      </c>
      <c r="CJ279" s="1" t="s">
        <v>3506</v>
      </c>
      <c r="CK279" s="1">
        <v>3300</v>
      </c>
      <c r="CL279" s="1">
        <v>2376</v>
      </c>
      <c r="CM279" s="1">
        <v>3276</v>
      </c>
      <c r="CN279" s="1">
        <v>1100</v>
      </c>
      <c r="CO279" s="1">
        <v>975</v>
      </c>
      <c r="CP279" s="1">
        <v>4752</v>
      </c>
      <c r="CQ279" s="1">
        <v>0</v>
      </c>
      <c r="CR279" s="1" t="s">
        <v>139</v>
      </c>
      <c r="CS279" s="1" t="s">
        <v>140</v>
      </c>
      <c r="CT279" s="1" t="s">
        <v>3507</v>
      </c>
      <c r="CU279" s="1" t="s">
        <v>3508</v>
      </c>
      <c r="CV279" s="1" t="s">
        <v>574</v>
      </c>
      <c r="CW279" s="1" t="s">
        <v>251</v>
      </c>
      <c r="CX279" s="1" t="s">
        <v>114</v>
      </c>
      <c r="CY279" s="1" t="s">
        <v>143</v>
      </c>
      <c r="CZ279" s="1" t="s">
        <v>144</v>
      </c>
      <c r="DA279" s="1" t="s">
        <v>145</v>
      </c>
    </row>
    <row r="280" spans="1:105" s="3" customFormat="1" ht="11.25" customHeight="1" x14ac:dyDescent="0.2">
      <c r="A280" s="1">
        <v>41</v>
      </c>
      <c r="B280" s="1" t="s">
        <v>3510</v>
      </c>
      <c r="C280" s="1" t="s">
        <v>3509</v>
      </c>
      <c r="D280" s="1">
        <v>3121</v>
      </c>
      <c r="E280" s="2" t="s">
        <v>4201</v>
      </c>
      <c r="F280" s="1" t="s">
        <v>113</v>
      </c>
      <c r="H280" s="1" t="s">
        <v>589</v>
      </c>
      <c r="I280" s="1" t="s">
        <v>229</v>
      </c>
      <c r="J280" s="1" t="s">
        <v>229</v>
      </c>
      <c r="K280" s="1" t="s">
        <v>589</v>
      </c>
      <c r="L280" s="1" t="s">
        <v>111</v>
      </c>
      <c r="M280" s="1" t="s">
        <v>111</v>
      </c>
      <c r="N280" s="1" t="s">
        <v>3511</v>
      </c>
      <c r="O280" s="1" t="s">
        <v>113</v>
      </c>
      <c r="P280" s="1" t="s">
        <v>113</v>
      </c>
      <c r="Q280" s="1" t="s">
        <v>195</v>
      </c>
      <c r="R280" s="1" t="s">
        <v>3512</v>
      </c>
      <c r="S280" s="1" t="s">
        <v>114</v>
      </c>
      <c r="T280" s="1" t="s">
        <v>106</v>
      </c>
      <c r="U280" s="1" t="s">
        <v>3513</v>
      </c>
      <c r="V280" s="1" t="s">
        <v>3514</v>
      </c>
      <c r="W280" s="1" t="s">
        <v>115</v>
      </c>
      <c r="X280" s="1" t="s">
        <v>113</v>
      </c>
      <c r="Y280" s="1" t="s">
        <v>114</v>
      </c>
      <c r="Z280" s="1">
        <v>0</v>
      </c>
      <c r="AA280" s="1" t="s">
        <v>589</v>
      </c>
      <c r="AB280" s="1" t="s">
        <v>128</v>
      </c>
      <c r="AC280" s="1" t="s">
        <v>128</v>
      </c>
      <c r="AD280" s="1">
        <v>0</v>
      </c>
      <c r="AE280" s="1" t="s">
        <v>589</v>
      </c>
      <c r="AF280" s="1">
        <v>0</v>
      </c>
      <c r="AG280" s="1" t="s">
        <v>113</v>
      </c>
      <c r="AH280" s="1">
        <v>0</v>
      </c>
      <c r="AI280" s="1">
        <v>0</v>
      </c>
      <c r="AJ280" s="1">
        <v>0</v>
      </c>
      <c r="AK280" s="1" t="s">
        <v>796</v>
      </c>
      <c r="AL280" s="1">
        <v>150</v>
      </c>
      <c r="AM280" s="1" t="s">
        <v>363</v>
      </c>
      <c r="AN280" s="1">
        <v>0</v>
      </c>
      <c r="AO280" s="1" t="s">
        <v>113</v>
      </c>
      <c r="AP280" s="1" t="s">
        <v>113</v>
      </c>
      <c r="AQ280" s="1" t="s">
        <v>157</v>
      </c>
      <c r="AR280" s="1" t="s">
        <v>3515</v>
      </c>
      <c r="AS280" s="1" t="s">
        <v>3516</v>
      </c>
      <c r="AT280" s="1" t="s">
        <v>123</v>
      </c>
      <c r="AU280" s="1" t="s">
        <v>113</v>
      </c>
      <c r="AV280" s="1" t="s">
        <v>113</v>
      </c>
      <c r="AW280" s="1" t="s">
        <v>164</v>
      </c>
      <c r="AX280" s="1" t="s">
        <v>165</v>
      </c>
      <c r="AY280" s="1">
        <v>0</v>
      </c>
      <c r="AZ280" s="1" t="s">
        <v>113</v>
      </c>
      <c r="BA280" s="1" t="s">
        <v>113</v>
      </c>
      <c r="BB280" s="1" t="s">
        <v>125</v>
      </c>
      <c r="BC280" s="1" t="s">
        <v>166</v>
      </c>
      <c r="BD280" s="1">
        <v>0</v>
      </c>
      <c r="BE280" s="1">
        <v>100</v>
      </c>
      <c r="BF280" s="1" t="s">
        <v>167</v>
      </c>
      <c r="BG280" s="1" t="s">
        <v>383</v>
      </c>
      <c r="BH280" s="1" t="s">
        <v>269</v>
      </c>
      <c r="BI280" s="1" t="s">
        <v>269</v>
      </c>
      <c r="BJ280" s="1" t="s">
        <v>128</v>
      </c>
      <c r="BK280" s="1">
        <v>0</v>
      </c>
      <c r="BL280" s="1" t="s">
        <v>127</v>
      </c>
      <c r="BM280" s="1" t="s">
        <v>114</v>
      </c>
      <c r="BN280" s="1">
        <v>5</v>
      </c>
      <c r="BO280" s="1">
        <v>5</v>
      </c>
      <c r="BP280" s="1" t="s">
        <v>115</v>
      </c>
      <c r="BQ280" s="1" t="s">
        <v>3517</v>
      </c>
      <c r="BR280" s="1" t="s">
        <v>3518</v>
      </c>
      <c r="BS280" s="1" t="s">
        <v>3519</v>
      </c>
      <c r="BT280" s="1" t="s">
        <v>172</v>
      </c>
      <c r="BU280" s="1" t="s">
        <v>132</v>
      </c>
      <c r="BV280" s="1" t="s">
        <v>3520</v>
      </c>
      <c r="BW280" s="1" t="s">
        <v>134</v>
      </c>
      <c r="BX280" s="1" t="s">
        <v>633</v>
      </c>
      <c r="BY280" s="1" t="s">
        <v>135</v>
      </c>
      <c r="BZ280" s="1" t="s">
        <v>3521</v>
      </c>
      <c r="CA280" s="1">
        <v>0</v>
      </c>
      <c r="CB280" s="1" t="s">
        <v>244</v>
      </c>
      <c r="CC280" s="1" t="s">
        <v>177</v>
      </c>
      <c r="CD280" s="1" t="s">
        <v>3522</v>
      </c>
      <c r="CE280" s="1" t="s">
        <v>179</v>
      </c>
      <c r="CF280" s="1">
        <v>67296</v>
      </c>
      <c r="CG280" s="1">
        <v>354478</v>
      </c>
      <c r="CH280" s="1">
        <v>0</v>
      </c>
      <c r="CI280" s="1">
        <v>340</v>
      </c>
      <c r="CJ280" s="1">
        <v>0</v>
      </c>
      <c r="CK280" s="1">
        <v>832</v>
      </c>
      <c r="CL280" s="1">
        <v>1440</v>
      </c>
      <c r="CM280" s="1">
        <v>340</v>
      </c>
      <c r="CN280" s="1">
        <v>2253</v>
      </c>
      <c r="CO280" s="1">
        <v>0</v>
      </c>
      <c r="CP280" s="1">
        <v>0</v>
      </c>
      <c r="CQ280" s="1">
        <v>0</v>
      </c>
      <c r="CR280" s="1" t="s">
        <v>139</v>
      </c>
      <c r="CS280" s="1" t="s">
        <v>308</v>
      </c>
      <c r="CT280" s="1" t="s">
        <v>3523</v>
      </c>
      <c r="CV280" s="1" t="s">
        <v>3524</v>
      </c>
      <c r="CW280" s="1" t="s">
        <v>420</v>
      </c>
      <c r="CX280" s="1" t="s">
        <v>3525</v>
      </c>
      <c r="CY280" s="1" t="s">
        <v>3526</v>
      </c>
      <c r="CZ280" s="1" t="s">
        <v>144</v>
      </c>
      <c r="DA280" s="1" t="s">
        <v>145</v>
      </c>
    </row>
    <row r="281" spans="1:105" s="3" customFormat="1" ht="11.25" customHeight="1" x14ac:dyDescent="0.2">
      <c r="A281" s="1">
        <v>41</v>
      </c>
      <c r="B281" s="1" t="s">
        <v>3528</v>
      </c>
      <c r="C281" s="1" t="s">
        <v>3527</v>
      </c>
      <c r="D281" s="1">
        <v>4123</v>
      </c>
      <c r="E281" s="2" t="s">
        <v>4201</v>
      </c>
      <c r="F281" s="1" t="s">
        <v>106</v>
      </c>
      <c r="G281" s="1" t="s">
        <v>2224</v>
      </c>
      <c r="H281" s="1" t="s">
        <v>3529</v>
      </c>
      <c r="I281" s="1" t="s">
        <v>193</v>
      </c>
      <c r="J281" s="1" t="s">
        <v>113</v>
      </c>
      <c r="K281" s="1" t="s">
        <v>3530</v>
      </c>
      <c r="L281" s="1" t="s">
        <v>111</v>
      </c>
      <c r="M281" s="1" t="s">
        <v>3530</v>
      </c>
      <c r="N281" s="1" t="s">
        <v>1315</v>
      </c>
      <c r="O281" s="1" t="s">
        <v>106</v>
      </c>
      <c r="P281" s="1" t="s">
        <v>113</v>
      </c>
      <c r="Q281" s="1" t="s">
        <v>195</v>
      </c>
      <c r="R281" s="1" t="s">
        <v>3531</v>
      </c>
      <c r="S281" s="1" t="s">
        <v>3531</v>
      </c>
      <c r="T281" s="1" t="s">
        <v>106</v>
      </c>
      <c r="U281" s="1" t="s">
        <v>3532</v>
      </c>
      <c r="V281" s="1" t="s">
        <v>3533</v>
      </c>
      <c r="W281" s="1" t="s">
        <v>115</v>
      </c>
      <c r="X281" s="1" t="s">
        <v>113</v>
      </c>
      <c r="Y281" s="1" t="s">
        <v>3534</v>
      </c>
      <c r="Z281" s="1">
        <v>100</v>
      </c>
      <c r="AA281" s="1" t="s">
        <v>116</v>
      </c>
      <c r="AB281" s="1" t="s">
        <v>128</v>
      </c>
      <c r="AC281" s="1" t="s">
        <v>384</v>
      </c>
      <c r="AD281" s="1">
        <v>100</v>
      </c>
      <c r="AE281" s="1" t="s">
        <v>116</v>
      </c>
      <c r="AF281" s="1">
        <v>888</v>
      </c>
      <c r="AG281" s="1" t="s">
        <v>106</v>
      </c>
      <c r="AH281" s="1">
        <v>20</v>
      </c>
      <c r="AI281" s="1">
        <v>64</v>
      </c>
      <c r="AJ281" s="1">
        <v>16</v>
      </c>
      <c r="AK281" s="1" t="s">
        <v>200</v>
      </c>
      <c r="AL281" s="1">
        <v>360</v>
      </c>
      <c r="AM281" s="1" t="s">
        <v>3535</v>
      </c>
      <c r="AN281" s="1">
        <v>0</v>
      </c>
      <c r="AO281" s="1" t="s">
        <v>113</v>
      </c>
      <c r="AP281" s="1" t="s">
        <v>113</v>
      </c>
      <c r="AQ281" s="1" t="s">
        <v>3536</v>
      </c>
      <c r="AR281" s="1" t="s">
        <v>3537</v>
      </c>
      <c r="AS281" s="1" t="s">
        <v>3538</v>
      </c>
      <c r="AT281" s="1" t="s">
        <v>204</v>
      </c>
      <c r="AU281" s="1" t="s">
        <v>113</v>
      </c>
      <c r="AV281" s="1" t="s">
        <v>113</v>
      </c>
      <c r="AW281" s="1" t="s">
        <v>234</v>
      </c>
      <c r="AX281" s="1" t="s">
        <v>1594</v>
      </c>
      <c r="AY281" s="1">
        <v>576</v>
      </c>
      <c r="AZ281" s="1" t="s">
        <v>113</v>
      </c>
      <c r="BA281" s="1" t="s">
        <v>113</v>
      </c>
      <c r="BB281" s="1" t="s">
        <v>125</v>
      </c>
      <c r="BC281" s="1" t="s">
        <v>166</v>
      </c>
      <c r="BD281" s="1">
        <v>0</v>
      </c>
      <c r="BE281" s="1">
        <v>100</v>
      </c>
      <c r="BF281" s="1" t="s">
        <v>167</v>
      </c>
      <c r="BG281" s="1" t="s">
        <v>116</v>
      </c>
      <c r="BH281" s="1" t="s">
        <v>168</v>
      </c>
      <c r="BI281" s="1" t="s">
        <v>168</v>
      </c>
      <c r="BJ281" s="1" t="s">
        <v>384</v>
      </c>
      <c r="BK281" s="1">
        <v>100</v>
      </c>
      <c r="BL281" s="1" t="s">
        <v>167</v>
      </c>
      <c r="BM281" s="1" t="s">
        <v>210</v>
      </c>
      <c r="BN281" s="1" t="s">
        <v>143</v>
      </c>
      <c r="BO281" s="1" t="s">
        <v>143</v>
      </c>
      <c r="BP281" s="1" t="s">
        <v>124</v>
      </c>
      <c r="BQ281" s="1" t="s">
        <v>3539</v>
      </c>
      <c r="BR281" s="1" t="s">
        <v>3540</v>
      </c>
      <c r="BS281" s="1" t="s">
        <v>3541</v>
      </c>
      <c r="BT281" s="1" t="s">
        <v>172</v>
      </c>
      <c r="BU281" s="1" t="s">
        <v>239</v>
      </c>
      <c r="BV281" s="1" t="s">
        <v>3542</v>
      </c>
      <c r="BW281" s="1" t="s">
        <v>134</v>
      </c>
      <c r="BX281" s="1" t="s">
        <v>3543</v>
      </c>
      <c r="BY281" s="1" t="s">
        <v>135</v>
      </c>
      <c r="BZ281" s="1" t="s">
        <v>3544</v>
      </c>
      <c r="CA281" s="1">
        <v>888</v>
      </c>
      <c r="CB281" s="1" t="s">
        <v>244</v>
      </c>
      <c r="CC281" s="1" t="s">
        <v>177</v>
      </c>
      <c r="CD281" s="1" t="s">
        <v>3532</v>
      </c>
      <c r="CE281" s="1" t="s">
        <v>219</v>
      </c>
      <c r="CF281" s="6">
        <v>69513.460000000006</v>
      </c>
      <c r="CG281" s="1">
        <v>0</v>
      </c>
      <c r="CH281" s="1">
        <v>0</v>
      </c>
      <c r="CI281" s="1" t="s">
        <v>3538</v>
      </c>
      <c r="CJ281" s="1" t="s">
        <v>3538</v>
      </c>
      <c r="CK281" s="1" t="s">
        <v>3545</v>
      </c>
      <c r="CL281" s="5" t="s">
        <v>220</v>
      </c>
      <c r="CM281" s="1">
        <v>0</v>
      </c>
      <c r="CN281" s="1">
        <v>0</v>
      </c>
      <c r="CO281" s="1">
        <v>0</v>
      </c>
      <c r="CP281" s="1">
        <v>0</v>
      </c>
      <c r="CQ281" s="1">
        <v>0</v>
      </c>
      <c r="CR281" s="1" t="s">
        <v>139</v>
      </c>
      <c r="CS281" s="1" t="s">
        <v>140</v>
      </c>
      <c r="CT281" s="1" t="s">
        <v>394</v>
      </c>
      <c r="CU281" s="1" t="s">
        <v>2238</v>
      </c>
      <c r="CV281" s="1" t="s">
        <v>3535</v>
      </c>
      <c r="CW281" s="1" t="s">
        <v>141</v>
      </c>
      <c r="CX281" s="1" t="s">
        <v>3546</v>
      </c>
      <c r="CY281" s="1" t="s">
        <v>143</v>
      </c>
      <c r="CZ281" s="1" t="s">
        <v>144</v>
      </c>
      <c r="DA281" s="1" t="s">
        <v>145</v>
      </c>
    </row>
    <row r="282" spans="1:105" s="3" customFormat="1" ht="11.25" customHeight="1" x14ac:dyDescent="0.2">
      <c r="A282" s="1">
        <v>41</v>
      </c>
      <c r="B282" s="1" t="s">
        <v>3548</v>
      </c>
      <c r="C282" s="1" t="s">
        <v>3547</v>
      </c>
      <c r="D282" s="1">
        <v>14663</v>
      </c>
      <c r="E282" s="2" t="s">
        <v>4201</v>
      </c>
      <c r="F282" s="1" t="s">
        <v>106</v>
      </c>
      <c r="G282" s="1" t="s">
        <v>826</v>
      </c>
      <c r="H282" s="1" t="s">
        <v>3549</v>
      </c>
      <c r="I282" s="1" t="s">
        <v>3550</v>
      </c>
      <c r="J282" s="1" t="s">
        <v>113</v>
      </c>
      <c r="L282" s="1" t="s">
        <v>111</v>
      </c>
      <c r="M282" s="1" t="s">
        <v>111</v>
      </c>
      <c r="N282" s="1" t="s">
        <v>3551</v>
      </c>
      <c r="O282" s="1" t="s">
        <v>113</v>
      </c>
      <c r="P282" s="1" t="s">
        <v>113</v>
      </c>
      <c r="Q282" s="1" t="s">
        <v>152</v>
      </c>
      <c r="R282" s="1" t="s">
        <v>157</v>
      </c>
      <c r="S282" s="1" t="s">
        <v>157</v>
      </c>
      <c r="T282" s="1" t="s">
        <v>106</v>
      </c>
      <c r="U282" s="1" t="s">
        <v>3552</v>
      </c>
      <c r="V282" s="1" t="s">
        <v>3553</v>
      </c>
      <c r="W282" s="1" t="s">
        <v>115</v>
      </c>
      <c r="X282" s="1" t="s">
        <v>113</v>
      </c>
      <c r="Y282" s="1" t="s">
        <v>1034</v>
      </c>
      <c r="Z282" s="1">
        <v>100</v>
      </c>
      <c r="AA282" s="1" t="s">
        <v>132</v>
      </c>
      <c r="AB282" s="1" t="s">
        <v>128</v>
      </c>
      <c r="AC282" s="1" t="s">
        <v>118</v>
      </c>
      <c r="AD282" s="1">
        <v>40</v>
      </c>
      <c r="AE282" s="1" t="s">
        <v>159</v>
      </c>
      <c r="AF282" s="1">
        <v>2500</v>
      </c>
      <c r="AG282" s="1" t="s">
        <v>113</v>
      </c>
      <c r="AH282" s="1">
        <v>0</v>
      </c>
      <c r="AI282" s="1">
        <v>0</v>
      </c>
      <c r="AJ282" s="1">
        <v>0</v>
      </c>
      <c r="AK282" s="1" t="s">
        <v>408</v>
      </c>
      <c r="AL282" s="1">
        <v>250</v>
      </c>
      <c r="AM282" s="1" t="s">
        <v>1667</v>
      </c>
      <c r="AN282" s="1">
        <v>0</v>
      </c>
      <c r="AO282" s="1" t="s">
        <v>113</v>
      </c>
      <c r="AP282" s="1" t="s">
        <v>113</v>
      </c>
      <c r="AQ282" s="1" t="s">
        <v>157</v>
      </c>
      <c r="AR282" s="1" t="s">
        <v>157</v>
      </c>
      <c r="AS282" s="1" t="s">
        <v>157</v>
      </c>
      <c r="AT282" s="1" t="s">
        <v>344</v>
      </c>
      <c r="AU282" s="1" t="s">
        <v>106</v>
      </c>
      <c r="AV282" s="1" t="s">
        <v>113</v>
      </c>
      <c r="AW282" s="1" t="s">
        <v>164</v>
      </c>
      <c r="AX282" s="1" t="s">
        <v>1113</v>
      </c>
      <c r="AY282" s="1">
        <v>495</v>
      </c>
      <c r="AZ282" s="1" t="s">
        <v>113</v>
      </c>
      <c r="BA282" s="1" t="s">
        <v>113</v>
      </c>
      <c r="BB282" s="1" t="s">
        <v>3554</v>
      </c>
      <c r="BC282" s="1" t="s">
        <v>2701</v>
      </c>
      <c r="BD282" s="1">
        <v>2</v>
      </c>
      <c r="BE282" s="1">
        <v>100</v>
      </c>
      <c r="BF282" s="1" t="s">
        <v>167</v>
      </c>
      <c r="BG282" s="1" t="s">
        <v>132</v>
      </c>
      <c r="BH282" s="1" t="s">
        <v>207</v>
      </c>
      <c r="BI282" s="1" t="s">
        <v>207</v>
      </c>
      <c r="BJ282" s="1" t="s">
        <v>208</v>
      </c>
      <c r="BK282" s="1">
        <v>40</v>
      </c>
      <c r="BL282" s="1" t="s">
        <v>167</v>
      </c>
      <c r="BM282" s="1" t="s">
        <v>472</v>
      </c>
      <c r="BN282" s="1">
        <v>11</v>
      </c>
      <c r="BP282" s="1" t="s">
        <v>115</v>
      </c>
      <c r="BQ282" s="1" t="s">
        <v>704</v>
      </c>
      <c r="BR282" s="1" t="s">
        <v>3555</v>
      </c>
      <c r="BS282" s="1" t="s">
        <v>704</v>
      </c>
      <c r="BT282" s="1" t="s">
        <v>172</v>
      </c>
      <c r="BU282" s="1" t="s">
        <v>132</v>
      </c>
      <c r="BV282" s="1" t="s">
        <v>1825</v>
      </c>
      <c r="BW282" s="1" t="s">
        <v>134</v>
      </c>
      <c r="BX282" s="1" t="s">
        <v>325</v>
      </c>
      <c r="BY282" s="1" t="s">
        <v>299</v>
      </c>
      <c r="BZ282" s="1" t="s">
        <v>1400</v>
      </c>
      <c r="CA282" s="1">
        <v>144</v>
      </c>
      <c r="CB282" s="1" t="s">
        <v>244</v>
      </c>
      <c r="CC282" s="1" t="s">
        <v>177</v>
      </c>
      <c r="CE282" s="1" t="s">
        <v>219</v>
      </c>
      <c r="CF282" s="8">
        <v>1322109.6399999999</v>
      </c>
      <c r="CG282" s="8">
        <v>1688782.68</v>
      </c>
      <c r="CH282" s="1" t="s">
        <v>3556</v>
      </c>
      <c r="CI282" s="1">
        <v>0</v>
      </c>
      <c r="CJ282" s="1">
        <v>239</v>
      </c>
      <c r="CK282" s="1" t="s">
        <v>3557</v>
      </c>
      <c r="CL282" s="1">
        <v>0</v>
      </c>
      <c r="CM282" s="1">
        <v>239</v>
      </c>
      <c r="CN282" s="1">
        <v>0</v>
      </c>
      <c r="CO282" s="1">
        <v>0</v>
      </c>
      <c r="CP282" s="1">
        <v>0</v>
      </c>
      <c r="CQ282" s="1">
        <v>0</v>
      </c>
      <c r="CR282" s="1" t="s">
        <v>139</v>
      </c>
      <c r="CS282" s="1" t="s">
        <v>140</v>
      </c>
      <c r="CT282" s="1" t="s">
        <v>3558</v>
      </c>
      <c r="CV282" s="1" t="s">
        <v>3559</v>
      </c>
      <c r="CW282" s="1" t="s">
        <v>184</v>
      </c>
      <c r="CX282" s="1" t="s">
        <v>3560</v>
      </c>
      <c r="CY282" s="1" t="s">
        <v>143</v>
      </c>
      <c r="CZ282" s="1" t="s">
        <v>144</v>
      </c>
      <c r="DA282" s="1" t="s">
        <v>145</v>
      </c>
    </row>
    <row r="283" spans="1:105" s="3" customFormat="1" ht="11.25" customHeight="1" x14ac:dyDescent="0.2">
      <c r="A283" s="1">
        <v>41</v>
      </c>
      <c r="B283" s="1" t="s">
        <v>3561</v>
      </c>
      <c r="C283" s="1" t="s">
        <v>3562</v>
      </c>
      <c r="D283" s="1">
        <v>15979</v>
      </c>
      <c r="E283" s="2" t="s">
        <v>1688</v>
      </c>
      <c r="F283" s="1"/>
      <c r="G283" s="1"/>
      <c r="H283" s="1"/>
      <c r="I283" s="1"/>
      <c r="J283" s="1"/>
      <c r="L283" s="1"/>
      <c r="M283" s="1"/>
      <c r="N283" s="1"/>
      <c r="O283" s="1"/>
      <c r="P283" s="1"/>
      <c r="Q283" s="1"/>
      <c r="R283" s="1"/>
      <c r="S283" s="1"/>
      <c r="T283" s="1"/>
      <c r="U283" s="1"/>
      <c r="W283" s="1"/>
      <c r="X283" s="1"/>
      <c r="Y283" s="1"/>
      <c r="Z283" s="1"/>
      <c r="AA283" s="1"/>
      <c r="AB283" s="1"/>
      <c r="AC283" s="1"/>
      <c r="AD283" s="1"/>
      <c r="AE283" s="1"/>
      <c r="AF283" s="1"/>
      <c r="AG283" s="1"/>
      <c r="AH283" s="1"/>
      <c r="AI283" s="1"/>
      <c r="AJ283" s="1"/>
      <c r="AK283" s="1"/>
      <c r="AM283" s="1"/>
      <c r="AO283" s="1"/>
      <c r="AP283" s="1"/>
      <c r="AQ283" s="1"/>
      <c r="AR283" s="1"/>
      <c r="AS283" s="1"/>
      <c r="AT283" s="1"/>
      <c r="AU283" s="1"/>
      <c r="AV283" s="1"/>
      <c r="AW283" s="1"/>
      <c r="AX283" s="1"/>
      <c r="AY283" s="1"/>
      <c r="AZ283" s="1"/>
      <c r="BA283" s="1"/>
      <c r="BB283" s="1"/>
      <c r="BD283" s="1"/>
      <c r="BE283" s="1"/>
      <c r="BF283" s="1"/>
      <c r="BG283" s="1"/>
      <c r="BJ283" s="1"/>
      <c r="BK283" s="1"/>
      <c r="BL283" s="1"/>
      <c r="BM283" s="1"/>
      <c r="BN283" s="1"/>
      <c r="BP283" s="1"/>
      <c r="BQ283" s="1"/>
      <c r="BR283" s="1"/>
      <c r="BS283" s="1"/>
      <c r="BT283" s="1"/>
      <c r="BU283" s="1"/>
      <c r="BV283" s="1"/>
      <c r="BW283" s="1"/>
      <c r="BX283" s="1"/>
      <c r="BY283" s="1"/>
      <c r="BZ283" s="1"/>
      <c r="CA283" s="1"/>
      <c r="CB283" s="1"/>
      <c r="CC283" s="1"/>
      <c r="CF283" s="1"/>
      <c r="CG283" s="1"/>
      <c r="CH283" s="1"/>
      <c r="CI283" s="1"/>
      <c r="CJ283" s="1"/>
      <c r="CK283" s="1"/>
      <c r="CL283" s="1"/>
      <c r="CM283" s="1"/>
      <c r="CN283" s="1"/>
      <c r="CO283" s="1"/>
      <c r="CP283" s="1"/>
      <c r="CQ283" s="1"/>
      <c r="CR283" s="1"/>
      <c r="CS283" s="1"/>
      <c r="CT283" s="1"/>
      <c r="CW283" s="1"/>
      <c r="CX283" s="1"/>
      <c r="CY283" s="1"/>
    </row>
    <row r="284" spans="1:105" s="3" customFormat="1" ht="11.25" customHeight="1" x14ac:dyDescent="0.2">
      <c r="A284" s="1">
        <v>41</v>
      </c>
      <c r="B284" s="1" t="s">
        <v>3564</v>
      </c>
      <c r="C284" s="1" t="s">
        <v>3563</v>
      </c>
      <c r="D284" s="1">
        <v>372562</v>
      </c>
      <c r="E284" s="2" t="s">
        <v>4201</v>
      </c>
      <c r="F284" s="1" t="s">
        <v>113</v>
      </c>
      <c r="H284" s="1" t="s">
        <v>3565</v>
      </c>
      <c r="I284" s="1" t="s">
        <v>229</v>
      </c>
      <c r="J284" s="1" t="s">
        <v>229</v>
      </c>
      <c r="L284" s="1" t="s">
        <v>401</v>
      </c>
      <c r="M284" s="1" t="s">
        <v>3566</v>
      </c>
      <c r="N284" s="1" t="s">
        <v>506</v>
      </c>
      <c r="O284" s="1" t="s">
        <v>106</v>
      </c>
      <c r="P284" s="1" t="s">
        <v>106</v>
      </c>
      <c r="Q284" s="1" t="s">
        <v>258</v>
      </c>
      <c r="R284" s="1" t="s">
        <v>3567</v>
      </c>
      <c r="S284" s="1" t="s">
        <v>3568</v>
      </c>
      <c r="T284" s="1" t="s">
        <v>106</v>
      </c>
      <c r="U284" s="1" t="s">
        <v>3569</v>
      </c>
      <c r="V284" s="1" t="s">
        <v>529</v>
      </c>
      <c r="W284" s="1" t="s">
        <v>115</v>
      </c>
      <c r="X284" s="1" t="s">
        <v>106</v>
      </c>
      <c r="Y284" s="1" t="s">
        <v>3570</v>
      </c>
      <c r="Z284" s="1">
        <v>100</v>
      </c>
      <c r="AA284" s="1" t="s">
        <v>132</v>
      </c>
      <c r="AB284" s="1" t="s">
        <v>117</v>
      </c>
      <c r="AC284" s="1" t="s">
        <v>384</v>
      </c>
      <c r="AD284" s="1">
        <v>100</v>
      </c>
      <c r="AE284" s="1" t="s">
        <v>132</v>
      </c>
      <c r="AF284" s="1">
        <v>98137</v>
      </c>
      <c r="AG284" s="1" t="s">
        <v>106</v>
      </c>
      <c r="AH284" s="5" t="s">
        <v>1983</v>
      </c>
      <c r="AI284" s="1" t="s">
        <v>3571</v>
      </c>
      <c r="AJ284" s="1">
        <v>18</v>
      </c>
      <c r="AK284" s="1" t="s">
        <v>449</v>
      </c>
      <c r="AM284" s="1" t="s">
        <v>172</v>
      </c>
      <c r="AO284" s="1" t="s">
        <v>113</v>
      </c>
      <c r="AP284" s="1" t="s">
        <v>113</v>
      </c>
      <c r="AQ284" s="1" t="s">
        <v>3572</v>
      </c>
      <c r="AR284" s="1" t="s">
        <v>3572</v>
      </c>
      <c r="AS284" s="1" t="s">
        <v>3572</v>
      </c>
      <c r="AT284" s="1" t="s">
        <v>123</v>
      </c>
      <c r="AU284" s="1" t="s">
        <v>113</v>
      </c>
      <c r="AV284" s="1" t="s">
        <v>113</v>
      </c>
      <c r="AW284" s="1" t="s">
        <v>124</v>
      </c>
      <c r="AY284" s="1">
        <v>0</v>
      </c>
      <c r="AZ284" s="1" t="s">
        <v>106</v>
      </c>
      <c r="BA284" s="1" t="s">
        <v>113</v>
      </c>
      <c r="BB284" s="1" t="s">
        <v>125</v>
      </c>
      <c r="BC284" s="1" t="s">
        <v>166</v>
      </c>
      <c r="BD284" s="4">
        <v>3530</v>
      </c>
      <c r="BE284" s="1">
        <v>50</v>
      </c>
      <c r="BF284" s="1" t="s">
        <v>630</v>
      </c>
      <c r="BG284" s="1" t="s">
        <v>132</v>
      </c>
      <c r="BI284" s="1" t="s">
        <v>569</v>
      </c>
      <c r="BJ284" s="1" t="s">
        <v>208</v>
      </c>
      <c r="BK284" s="1">
        <v>50</v>
      </c>
      <c r="BL284" s="1" t="s">
        <v>270</v>
      </c>
      <c r="BM284" s="1" t="s">
        <v>472</v>
      </c>
      <c r="BN284" s="1" t="s">
        <v>3573</v>
      </c>
      <c r="BP284" s="1" t="s">
        <v>115</v>
      </c>
      <c r="BQ284" s="1" t="s">
        <v>3574</v>
      </c>
      <c r="BR284" s="1" t="s">
        <v>3575</v>
      </c>
      <c r="BS284" s="1" t="s">
        <v>3576</v>
      </c>
      <c r="BT284" s="1" t="s">
        <v>172</v>
      </c>
      <c r="BU284" s="1" t="s">
        <v>132</v>
      </c>
      <c r="BV284" s="1" t="s">
        <v>817</v>
      </c>
      <c r="BW284" s="1" t="s">
        <v>134</v>
      </c>
      <c r="BX284" s="1" t="s">
        <v>3577</v>
      </c>
      <c r="BY284" s="1" t="s">
        <v>135</v>
      </c>
      <c r="BZ284" s="1" t="s">
        <v>3578</v>
      </c>
      <c r="CA284" s="1" t="s">
        <v>3579</v>
      </c>
      <c r="CB284" s="1" t="s">
        <v>244</v>
      </c>
      <c r="CC284" s="1" t="s">
        <v>3580</v>
      </c>
      <c r="CD284" s="1" t="s">
        <v>3581</v>
      </c>
      <c r="CE284" s="1" t="s">
        <v>2326</v>
      </c>
      <c r="CF284" s="1">
        <v>64507902.270000003</v>
      </c>
      <c r="CG284" s="6">
        <v>66781000</v>
      </c>
      <c r="CH284" s="1">
        <v>436.44</v>
      </c>
      <c r="CI284" s="1">
        <v>0</v>
      </c>
      <c r="CJ284" s="1" t="s">
        <v>3582</v>
      </c>
      <c r="CK284" s="1">
        <v>1921.55</v>
      </c>
      <c r="CL284" s="1">
        <v>0</v>
      </c>
      <c r="CM284" s="1" t="s">
        <v>3583</v>
      </c>
      <c r="CN284" s="1" t="s">
        <v>3583</v>
      </c>
      <c r="CO284" s="1">
        <v>0</v>
      </c>
      <c r="CP284" s="5" t="s">
        <v>3584</v>
      </c>
      <c r="CQ284" s="1">
        <v>0</v>
      </c>
      <c r="CR284" s="1" t="s">
        <v>139</v>
      </c>
      <c r="CS284" s="1" t="s">
        <v>140</v>
      </c>
      <c r="CT284" s="1" t="s">
        <v>3585</v>
      </c>
      <c r="CU284" s="1" t="s">
        <v>3586</v>
      </c>
      <c r="CV284" s="1" t="s">
        <v>3587</v>
      </c>
      <c r="CW284" s="1" t="s">
        <v>141</v>
      </c>
      <c r="CX284" s="1" t="s">
        <v>3588</v>
      </c>
      <c r="CY284" s="1" t="s">
        <v>143</v>
      </c>
      <c r="CZ284" s="1" t="s">
        <v>144</v>
      </c>
      <c r="DA284" s="1" t="s">
        <v>145</v>
      </c>
    </row>
    <row r="285" spans="1:105" s="3" customFormat="1" ht="11.25" customHeight="1" x14ac:dyDescent="0.2">
      <c r="A285" s="1">
        <v>41</v>
      </c>
      <c r="B285" s="1" t="s">
        <v>3590</v>
      </c>
      <c r="C285" s="1" t="s">
        <v>3589</v>
      </c>
      <c r="D285" s="1">
        <v>32426</v>
      </c>
      <c r="E285" s="2" t="s">
        <v>4201</v>
      </c>
      <c r="F285" s="1" t="s">
        <v>106</v>
      </c>
      <c r="G285" s="1" t="s">
        <v>1664</v>
      </c>
      <c r="H285" s="1" t="s">
        <v>3589</v>
      </c>
      <c r="I285" s="1" t="s">
        <v>109</v>
      </c>
      <c r="J285" s="1" t="s">
        <v>113</v>
      </c>
      <c r="L285" s="1" t="s">
        <v>149</v>
      </c>
      <c r="M285" s="1" t="s">
        <v>3591</v>
      </c>
      <c r="N285" s="1" t="s">
        <v>737</v>
      </c>
      <c r="O285" s="1" t="s">
        <v>106</v>
      </c>
      <c r="P285" s="1" t="s">
        <v>106</v>
      </c>
      <c r="Q285" s="1" t="s">
        <v>258</v>
      </c>
      <c r="R285" s="1" t="s">
        <v>3592</v>
      </c>
      <c r="S285" s="1" t="s">
        <v>3593</v>
      </c>
      <c r="T285" s="1" t="s">
        <v>106</v>
      </c>
      <c r="U285" s="1" t="s">
        <v>3591</v>
      </c>
      <c r="V285" s="1" t="s">
        <v>1896</v>
      </c>
      <c r="W285" s="1" t="s">
        <v>115</v>
      </c>
      <c r="X285" s="1" t="s">
        <v>113</v>
      </c>
      <c r="Y285" s="1" t="s">
        <v>114</v>
      </c>
      <c r="Z285" s="1">
        <v>100</v>
      </c>
      <c r="AA285" s="1" t="s">
        <v>132</v>
      </c>
      <c r="AB285" s="1" t="s">
        <v>117</v>
      </c>
      <c r="AC285" s="1" t="s">
        <v>384</v>
      </c>
      <c r="AD285" s="1">
        <v>100</v>
      </c>
      <c r="AE285" s="1" t="s">
        <v>159</v>
      </c>
      <c r="AF285" s="1">
        <v>15807</v>
      </c>
      <c r="AG285" s="1" t="s">
        <v>113</v>
      </c>
      <c r="AH285" s="1">
        <v>0</v>
      </c>
      <c r="AI285" s="1">
        <v>0</v>
      </c>
      <c r="AJ285" s="1">
        <v>0</v>
      </c>
      <c r="AK285" s="1" t="s">
        <v>648</v>
      </c>
      <c r="AL285" s="1">
        <v>0</v>
      </c>
      <c r="AM285" s="1" t="s">
        <v>120</v>
      </c>
      <c r="AN285" s="1">
        <v>0</v>
      </c>
      <c r="AO285" s="1" t="s">
        <v>113</v>
      </c>
      <c r="AP285" s="1" t="s">
        <v>106</v>
      </c>
      <c r="AQ285" s="1" t="s">
        <v>3594</v>
      </c>
      <c r="AR285" s="1" t="s">
        <v>3595</v>
      </c>
      <c r="AS285" s="1" t="s">
        <v>3596</v>
      </c>
      <c r="AT285" s="1" t="s">
        <v>1541</v>
      </c>
      <c r="AU285" s="1" t="s">
        <v>113</v>
      </c>
      <c r="AV285" s="1" t="s">
        <v>113</v>
      </c>
      <c r="AW285" s="1" t="s">
        <v>629</v>
      </c>
      <c r="AY285" s="1">
        <v>0</v>
      </c>
      <c r="AZ285" s="1" t="s">
        <v>113</v>
      </c>
      <c r="BA285" s="1" t="s">
        <v>113</v>
      </c>
      <c r="BB285" s="1" t="s">
        <v>1568</v>
      </c>
      <c r="BC285" s="1" t="s">
        <v>1594</v>
      </c>
      <c r="BD285" s="1">
        <v>0</v>
      </c>
      <c r="BE285" s="1">
        <v>70</v>
      </c>
      <c r="BF285" s="1" t="s">
        <v>630</v>
      </c>
      <c r="BG285" s="1" t="s">
        <v>268</v>
      </c>
      <c r="BH285" s="1" t="s">
        <v>169</v>
      </c>
      <c r="BI285" s="1" t="s">
        <v>169</v>
      </c>
      <c r="BJ285" s="1" t="s">
        <v>208</v>
      </c>
      <c r="BK285" s="1">
        <v>50</v>
      </c>
      <c r="BL285" s="1" t="s">
        <v>294</v>
      </c>
      <c r="BM285" s="1" t="s">
        <v>271</v>
      </c>
      <c r="BN285" s="1">
        <v>78</v>
      </c>
      <c r="BO285" s="1">
        <v>11</v>
      </c>
      <c r="BP285" s="1" t="s">
        <v>115</v>
      </c>
      <c r="BQ285" s="1" t="s">
        <v>2977</v>
      </c>
      <c r="BR285" s="1" t="s">
        <v>3597</v>
      </c>
      <c r="BS285" s="1" t="s">
        <v>3598</v>
      </c>
      <c r="BT285" s="1" t="s">
        <v>172</v>
      </c>
      <c r="BU285" s="1" t="s">
        <v>132</v>
      </c>
      <c r="BV285" s="1" t="s">
        <v>1825</v>
      </c>
      <c r="BW285" s="1" t="s">
        <v>134</v>
      </c>
      <c r="BX285" s="1" t="s">
        <v>325</v>
      </c>
      <c r="BY285" s="1" t="s">
        <v>135</v>
      </c>
      <c r="BZ285" s="1" t="s">
        <v>3599</v>
      </c>
      <c r="CA285" s="1">
        <v>15807</v>
      </c>
      <c r="CB285" s="1" t="s">
        <v>176</v>
      </c>
      <c r="CC285" s="1" t="s">
        <v>277</v>
      </c>
      <c r="CD285" s="1" t="s">
        <v>3600</v>
      </c>
      <c r="CE285" s="1" t="s">
        <v>2326</v>
      </c>
      <c r="CF285" s="1">
        <v>10187210.75</v>
      </c>
      <c r="CG285" s="1">
        <v>9393405.25</v>
      </c>
      <c r="CH285" s="1">
        <v>360.49</v>
      </c>
      <c r="CI285" s="1">
        <v>0</v>
      </c>
      <c r="CJ285" s="1">
        <v>233.74</v>
      </c>
      <c r="CK285" s="1">
        <v>1491.88</v>
      </c>
      <c r="CL285" s="1">
        <v>0</v>
      </c>
      <c r="CM285" s="1">
        <v>0</v>
      </c>
      <c r="CN285" s="1">
        <v>0</v>
      </c>
      <c r="CO285" s="1">
        <v>0</v>
      </c>
      <c r="CP285" s="1">
        <v>0</v>
      </c>
      <c r="CQ285" s="1">
        <v>0</v>
      </c>
      <c r="CR285" s="1" t="s">
        <v>139</v>
      </c>
      <c r="CS285" s="1" t="s">
        <v>140</v>
      </c>
      <c r="CT285" s="1" t="s">
        <v>282</v>
      </c>
      <c r="CU285" s="1" t="s">
        <v>3601</v>
      </c>
      <c r="CV285" s="1" t="s">
        <v>3602</v>
      </c>
      <c r="CW285" s="1" t="s">
        <v>420</v>
      </c>
      <c r="CX285" s="1" t="s">
        <v>3603</v>
      </c>
      <c r="CY285" s="1" t="s">
        <v>143</v>
      </c>
      <c r="CZ285" s="1" t="s">
        <v>144</v>
      </c>
      <c r="DA285" s="1" t="s">
        <v>145</v>
      </c>
    </row>
    <row r="286" spans="1:105" s="3" customFormat="1" ht="11.25" customHeight="1" x14ac:dyDescent="0.2">
      <c r="A286" s="1">
        <v>41</v>
      </c>
      <c r="B286" s="1" t="s">
        <v>3605</v>
      </c>
      <c r="C286" s="1" t="s">
        <v>3604</v>
      </c>
      <c r="D286" s="1">
        <v>4099</v>
      </c>
      <c r="E286" s="2" t="s">
        <v>4201</v>
      </c>
      <c r="F286" s="1" t="s">
        <v>113</v>
      </c>
      <c r="G286" s="1" t="s">
        <v>190</v>
      </c>
      <c r="H286" s="1" t="s">
        <v>3606</v>
      </c>
      <c r="I286" s="1" t="s">
        <v>193</v>
      </c>
      <c r="J286" s="1" t="s">
        <v>113</v>
      </c>
      <c r="L286" s="1" t="s">
        <v>111</v>
      </c>
      <c r="M286" s="1" t="s">
        <v>191</v>
      </c>
      <c r="N286" s="1" t="s">
        <v>112</v>
      </c>
      <c r="O286" s="1" t="s">
        <v>106</v>
      </c>
      <c r="P286" s="1" t="s">
        <v>113</v>
      </c>
      <c r="Q286" s="1" t="s">
        <v>195</v>
      </c>
      <c r="R286" s="1" t="s">
        <v>3607</v>
      </c>
      <c r="S286" s="1" t="s">
        <v>3608</v>
      </c>
      <c r="T286" s="1" t="s">
        <v>113</v>
      </c>
      <c r="U286" s="1" t="s">
        <v>157</v>
      </c>
      <c r="V286" s="1" t="s">
        <v>3609</v>
      </c>
      <c r="W286" s="1" t="s">
        <v>115</v>
      </c>
      <c r="X286" s="1" t="s">
        <v>113</v>
      </c>
      <c r="Y286" s="1" t="s">
        <v>157</v>
      </c>
      <c r="Z286" s="1">
        <v>100</v>
      </c>
      <c r="AA286" s="1" t="s">
        <v>116</v>
      </c>
      <c r="AB286" s="1" t="s">
        <v>128</v>
      </c>
      <c r="AC286" s="1" t="s">
        <v>128</v>
      </c>
      <c r="AD286" s="1">
        <v>0</v>
      </c>
      <c r="AE286" s="1" t="s">
        <v>116</v>
      </c>
      <c r="AF286" s="1">
        <v>654</v>
      </c>
      <c r="AG286" s="1" t="s">
        <v>113</v>
      </c>
      <c r="AH286" s="1">
        <v>0</v>
      </c>
      <c r="AI286" s="1">
        <v>0</v>
      </c>
      <c r="AJ286" s="1">
        <v>0</v>
      </c>
      <c r="AK286" s="1" t="s">
        <v>232</v>
      </c>
      <c r="AL286" s="1">
        <v>0</v>
      </c>
      <c r="AM286" s="1" t="s">
        <v>191</v>
      </c>
      <c r="AN286" s="1">
        <v>0</v>
      </c>
      <c r="AO286" s="1" t="s">
        <v>113</v>
      </c>
      <c r="AP286" s="1" t="s">
        <v>106</v>
      </c>
      <c r="AQ286" s="1">
        <v>121278</v>
      </c>
      <c r="AR286" s="1" t="s">
        <v>3610</v>
      </c>
      <c r="AS286" s="1" t="s">
        <v>3611</v>
      </c>
      <c r="AT286" s="1" t="s">
        <v>123</v>
      </c>
      <c r="AU286" s="1" t="s">
        <v>113</v>
      </c>
      <c r="AV286" s="1" t="s">
        <v>113</v>
      </c>
      <c r="AW286" s="1" t="s">
        <v>164</v>
      </c>
      <c r="AX286" s="1" t="s">
        <v>165</v>
      </c>
      <c r="AY286" s="1">
        <v>0</v>
      </c>
      <c r="AZ286" s="1" t="s">
        <v>113</v>
      </c>
      <c r="BA286" s="1" t="s">
        <v>113</v>
      </c>
      <c r="BB286" s="1" t="s">
        <v>125</v>
      </c>
      <c r="BC286" s="1" t="s">
        <v>166</v>
      </c>
      <c r="BD286" s="1">
        <v>0</v>
      </c>
      <c r="BE286" s="1">
        <v>100</v>
      </c>
      <c r="BF286" s="1" t="s">
        <v>167</v>
      </c>
      <c r="BG286" s="1" t="s">
        <v>268</v>
      </c>
      <c r="BH286" s="1" t="s">
        <v>269</v>
      </c>
      <c r="BI286" s="1" t="s">
        <v>269</v>
      </c>
      <c r="BJ286" s="1" t="s">
        <v>384</v>
      </c>
      <c r="BK286" s="1">
        <v>100</v>
      </c>
      <c r="BL286" s="1" t="s">
        <v>209</v>
      </c>
      <c r="BM286" s="1" t="s">
        <v>472</v>
      </c>
      <c r="BN286" s="1">
        <v>0</v>
      </c>
      <c r="BO286" s="1">
        <v>0</v>
      </c>
      <c r="BP286" s="1" t="s">
        <v>115</v>
      </c>
      <c r="BQ286" s="1" t="s">
        <v>2137</v>
      </c>
      <c r="BR286" s="1" t="s">
        <v>3612</v>
      </c>
      <c r="BS286" s="1" t="s">
        <v>3613</v>
      </c>
      <c r="BT286" s="1" t="s">
        <v>535</v>
      </c>
      <c r="BU286" s="1" t="s">
        <v>132</v>
      </c>
      <c r="BV286" s="1" t="s">
        <v>817</v>
      </c>
      <c r="BW286" s="1" t="s">
        <v>134</v>
      </c>
      <c r="BX286" s="1" t="s">
        <v>175</v>
      </c>
      <c r="BY286" s="1" t="s">
        <v>299</v>
      </c>
      <c r="BZ286" s="1" t="s">
        <v>3614</v>
      </c>
      <c r="CA286" s="1">
        <v>654</v>
      </c>
      <c r="CB286" s="1" t="s">
        <v>137</v>
      </c>
      <c r="CC286" s="1" t="s">
        <v>138</v>
      </c>
      <c r="CD286" s="1" t="s">
        <v>157</v>
      </c>
      <c r="CE286" s="1" t="s">
        <v>179</v>
      </c>
      <c r="CF286" s="1">
        <v>0</v>
      </c>
      <c r="CG286" s="6">
        <v>157952.70000000001</v>
      </c>
      <c r="CH286" s="1">
        <v>0</v>
      </c>
      <c r="CI286" s="1">
        <v>0</v>
      </c>
      <c r="CJ286" s="1">
        <v>0</v>
      </c>
      <c r="CK286" s="6">
        <v>200989.52</v>
      </c>
      <c r="CL286" s="1">
        <v>0</v>
      </c>
      <c r="CM286" s="1">
        <v>0</v>
      </c>
      <c r="CN286" s="1">
        <v>0</v>
      </c>
      <c r="CO286" s="1">
        <v>0</v>
      </c>
      <c r="CP286" s="1">
        <v>0</v>
      </c>
      <c r="CQ286" s="1">
        <v>0</v>
      </c>
      <c r="CR286" s="1" t="s">
        <v>139</v>
      </c>
      <c r="CS286" s="1" t="s">
        <v>222</v>
      </c>
      <c r="CT286" s="1" t="s">
        <v>1688</v>
      </c>
      <c r="CU286" s="1" t="s">
        <v>3615</v>
      </c>
      <c r="CV286" s="1" t="s">
        <v>1688</v>
      </c>
      <c r="CW286" s="1" t="s">
        <v>251</v>
      </c>
      <c r="CX286" s="1" t="s">
        <v>127</v>
      </c>
      <c r="CY286" s="1" t="s">
        <v>143</v>
      </c>
      <c r="CZ286" s="1" t="s">
        <v>144</v>
      </c>
      <c r="DA286" s="1" t="s">
        <v>145</v>
      </c>
    </row>
    <row r="287" spans="1:105" s="3" customFormat="1" ht="11.25" customHeight="1" x14ac:dyDescent="0.2">
      <c r="A287" s="1">
        <v>41</v>
      </c>
      <c r="B287" s="1" t="s">
        <v>3617</v>
      </c>
      <c r="C287" s="1" t="s">
        <v>3616</v>
      </c>
      <c r="D287" s="1">
        <v>3078</v>
      </c>
      <c r="E287" s="2" t="s">
        <v>4201</v>
      </c>
      <c r="F287" s="1" t="s">
        <v>106</v>
      </c>
      <c r="G287" s="1" t="s">
        <v>398</v>
      </c>
      <c r="H287" s="1" t="s">
        <v>359</v>
      </c>
      <c r="I287" s="1" t="s">
        <v>109</v>
      </c>
      <c r="J287" s="1" t="s">
        <v>106</v>
      </c>
      <c r="K287" s="1" t="s">
        <v>3618</v>
      </c>
      <c r="L287" s="1" t="s">
        <v>111</v>
      </c>
      <c r="M287" s="1" t="s">
        <v>465</v>
      </c>
      <c r="N287" s="1" t="s">
        <v>112</v>
      </c>
      <c r="O287" s="1" t="s">
        <v>113</v>
      </c>
      <c r="P287" s="1" t="s">
        <v>113</v>
      </c>
      <c r="Q287" s="1" t="s">
        <v>195</v>
      </c>
      <c r="R287" s="1" t="s">
        <v>1018</v>
      </c>
      <c r="S287" s="1" t="s">
        <v>373</v>
      </c>
      <c r="T287" s="1" t="s">
        <v>106</v>
      </c>
      <c r="U287" s="1" t="s">
        <v>114</v>
      </c>
      <c r="V287" s="1" t="s">
        <v>3619</v>
      </c>
      <c r="W287" s="1" t="s">
        <v>199</v>
      </c>
      <c r="X287" s="1" t="s">
        <v>113</v>
      </c>
      <c r="Y287" s="1" t="s">
        <v>114</v>
      </c>
      <c r="Z287" s="1">
        <v>100</v>
      </c>
      <c r="AA287" s="1" t="s">
        <v>116</v>
      </c>
      <c r="AB287" s="1" t="s">
        <v>158</v>
      </c>
      <c r="AC287" s="1" t="s">
        <v>118</v>
      </c>
      <c r="AD287" s="1">
        <v>30</v>
      </c>
      <c r="AE287" s="1" t="s">
        <v>116</v>
      </c>
      <c r="AF287" s="1">
        <v>238</v>
      </c>
      <c r="AG287" s="1" t="s">
        <v>113</v>
      </c>
      <c r="AH287" s="1">
        <v>50</v>
      </c>
      <c r="AI287" s="1">
        <v>50</v>
      </c>
      <c r="AJ287" s="1">
        <v>0</v>
      </c>
      <c r="AK287" s="1" t="s">
        <v>119</v>
      </c>
      <c r="AL287" s="1">
        <v>0</v>
      </c>
      <c r="AM287" s="1" t="s">
        <v>3620</v>
      </c>
      <c r="AO287" s="1" t="s">
        <v>113</v>
      </c>
      <c r="AP287" s="1" t="s">
        <v>113</v>
      </c>
      <c r="AQ287" s="1" t="s">
        <v>114</v>
      </c>
      <c r="AR287" s="1" t="s">
        <v>114</v>
      </c>
      <c r="AS287" s="1" t="s">
        <v>114</v>
      </c>
      <c r="AT287" s="1" t="s">
        <v>628</v>
      </c>
      <c r="AU287" s="1" t="s">
        <v>113</v>
      </c>
      <c r="AV287" s="1" t="s">
        <v>113</v>
      </c>
      <c r="AW287" s="1" t="s">
        <v>234</v>
      </c>
      <c r="AX287" s="1" t="s">
        <v>1073</v>
      </c>
      <c r="AY287" s="1">
        <v>0</v>
      </c>
      <c r="AZ287" s="1" t="s">
        <v>113</v>
      </c>
      <c r="BA287" s="1" t="s">
        <v>113</v>
      </c>
      <c r="BB287" s="1" t="s">
        <v>125</v>
      </c>
      <c r="BC287" s="1" t="s">
        <v>166</v>
      </c>
      <c r="BD287" s="1">
        <v>0</v>
      </c>
      <c r="BE287" s="1">
        <v>0</v>
      </c>
      <c r="BF287" s="1" t="s">
        <v>127</v>
      </c>
      <c r="BG287" s="1" t="s">
        <v>127</v>
      </c>
      <c r="BH287" s="1" t="s">
        <v>168</v>
      </c>
      <c r="BI287" s="1" t="s">
        <v>168</v>
      </c>
      <c r="BJ287" s="1" t="s">
        <v>128</v>
      </c>
      <c r="BK287" s="1">
        <v>0</v>
      </c>
      <c r="BL287" s="1" t="s">
        <v>3621</v>
      </c>
      <c r="BM287" s="1" t="s">
        <v>114</v>
      </c>
      <c r="BN287" s="1" t="s">
        <v>276</v>
      </c>
      <c r="BO287" s="1" t="s">
        <v>114</v>
      </c>
      <c r="BP287" s="1" t="s">
        <v>115</v>
      </c>
      <c r="BQ287" s="1" t="s">
        <v>3622</v>
      </c>
      <c r="BR287" s="1" t="s">
        <v>3623</v>
      </c>
      <c r="BS287" s="1" t="s">
        <v>3624</v>
      </c>
      <c r="BT287" s="1" t="s">
        <v>172</v>
      </c>
      <c r="BU287" s="1" t="s">
        <v>132</v>
      </c>
      <c r="BV287" s="1" t="s">
        <v>1418</v>
      </c>
      <c r="BW287" s="1" t="s">
        <v>134</v>
      </c>
      <c r="BX287" s="1" t="s">
        <v>114</v>
      </c>
      <c r="BY287" s="1" t="s">
        <v>135</v>
      </c>
      <c r="BZ287" s="1" t="s">
        <v>3625</v>
      </c>
      <c r="CA287" s="1">
        <v>238</v>
      </c>
      <c r="CB287" s="1" t="s">
        <v>244</v>
      </c>
      <c r="CC287" s="1" t="s">
        <v>177</v>
      </c>
      <c r="CD287" s="1" t="s">
        <v>3626</v>
      </c>
      <c r="CE287" s="1" t="s">
        <v>179</v>
      </c>
      <c r="CF287" s="1">
        <v>13591.78</v>
      </c>
      <c r="CG287" s="1">
        <v>91937.2</v>
      </c>
      <c r="CH287" s="1">
        <v>193.14</v>
      </c>
      <c r="CI287" s="1">
        <v>0</v>
      </c>
      <c r="CJ287" s="1">
        <v>193.14</v>
      </c>
      <c r="CK287" s="1">
        <v>0</v>
      </c>
      <c r="CL287" s="1">
        <v>0</v>
      </c>
      <c r="CM287" s="1">
        <v>0</v>
      </c>
      <c r="CN287" s="1">
        <v>0</v>
      </c>
      <c r="CO287" s="1">
        <v>0</v>
      </c>
      <c r="CP287" s="1">
        <v>0</v>
      </c>
      <c r="CQ287" s="1">
        <v>0</v>
      </c>
      <c r="CR287" s="1" t="s">
        <v>418</v>
      </c>
      <c r="CS287" s="1" t="s">
        <v>3627</v>
      </c>
      <c r="CT287" s="1" t="s">
        <v>290</v>
      </c>
      <c r="CW287" s="1" t="s">
        <v>251</v>
      </c>
      <c r="CX287" s="1" t="s">
        <v>114</v>
      </c>
      <c r="CY287" s="1" t="s">
        <v>143</v>
      </c>
      <c r="CZ287" s="1" t="s">
        <v>144</v>
      </c>
      <c r="DA287" s="1" t="s">
        <v>145</v>
      </c>
    </row>
    <row r="288" spans="1:105" s="3" customFormat="1" ht="11.25" customHeight="1" x14ac:dyDescent="0.2">
      <c r="A288" s="1">
        <v>41</v>
      </c>
      <c r="B288" s="1" t="s">
        <v>3629</v>
      </c>
      <c r="C288" s="1" t="s">
        <v>3628</v>
      </c>
      <c r="D288" s="1">
        <v>3316</v>
      </c>
      <c r="E288" s="2" t="s">
        <v>4201</v>
      </c>
      <c r="F288" s="1" t="s">
        <v>113</v>
      </c>
      <c r="G288" s="1" t="s">
        <v>2224</v>
      </c>
      <c r="H288" s="1" t="s">
        <v>3630</v>
      </c>
      <c r="I288" s="1" t="s">
        <v>3631</v>
      </c>
      <c r="J288" s="1" t="s">
        <v>113</v>
      </c>
      <c r="L288" s="1" t="s">
        <v>111</v>
      </c>
      <c r="M288" s="1" t="s">
        <v>1157</v>
      </c>
      <c r="N288" s="1" t="s">
        <v>684</v>
      </c>
      <c r="O288" s="1" t="s">
        <v>113</v>
      </c>
      <c r="P288" s="1" t="s">
        <v>113</v>
      </c>
      <c r="Q288" s="1" t="s">
        <v>258</v>
      </c>
      <c r="R288" s="1" t="s">
        <v>3632</v>
      </c>
      <c r="S288" s="1" t="s">
        <v>157</v>
      </c>
      <c r="T288" s="1" t="s">
        <v>106</v>
      </c>
      <c r="U288" s="1" t="s">
        <v>3633</v>
      </c>
      <c r="V288" s="1" t="s">
        <v>1896</v>
      </c>
      <c r="W288" s="1" t="s">
        <v>755</v>
      </c>
      <c r="X288" s="1" t="s">
        <v>113</v>
      </c>
      <c r="Y288" s="1" t="s">
        <v>114</v>
      </c>
      <c r="Z288" s="1">
        <v>100</v>
      </c>
      <c r="AA288" s="1" t="s">
        <v>116</v>
      </c>
      <c r="AB288" s="1" t="s">
        <v>117</v>
      </c>
      <c r="AC288" s="1" t="s">
        <v>118</v>
      </c>
      <c r="AD288" s="1">
        <v>50</v>
      </c>
      <c r="AE288" s="1" t="s">
        <v>116</v>
      </c>
      <c r="AF288" s="1">
        <v>1000</v>
      </c>
      <c r="AG288" s="1" t="s">
        <v>106</v>
      </c>
      <c r="AH288" s="1">
        <v>70</v>
      </c>
      <c r="AI288" s="1">
        <v>30</v>
      </c>
      <c r="AJ288" s="1">
        <v>60</v>
      </c>
      <c r="AK288" s="1" t="s">
        <v>626</v>
      </c>
      <c r="AL288" s="5" t="s">
        <v>1365</v>
      </c>
      <c r="AM288" s="1" t="s">
        <v>3634</v>
      </c>
      <c r="AN288" s="5" t="s">
        <v>1365</v>
      </c>
      <c r="AO288" s="1" t="s">
        <v>113</v>
      </c>
      <c r="AP288" s="1" t="s">
        <v>113</v>
      </c>
      <c r="AQ288" s="1" t="s">
        <v>157</v>
      </c>
      <c r="AR288" s="1" t="s">
        <v>157</v>
      </c>
      <c r="AS288" s="1" t="s">
        <v>157</v>
      </c>
      <c r="AT288" s="1" t="s">
        <v>123</v>
      </c>
      <c r="AU288" s="1" t="s">
        <v>106</v>
      </c>
      <c r="AV288" s="1" t="s">
        <v>106</v>
      </c>
      <c r="AW288" s="1" t="s">
        <v>164</v>
      </c>
      <c r="AX288" s="1" t="s">
        <v>165</v>
      </c>
      <c r="AY288" s="1">
        <v>0</v>
      </c>
      <c r="AZ288" s="1" t="s">
        <v>113</v>
      </c>
      <c r="BA288" s="1" t="s">
        <v>113</v>
      </c>
      <c r="BB288" s="1" t="s">
        <v>125</v>
      </c>
      <c r="BC288" s="1" t="s">
        <v>166</v>
      </c>
      <c r="BD288" s="1">
        <v>0</v>
      </c>
      <c r="BE288" s="1">
        <v>100</v>
      </c>
      <c r="BF288" s="1" t="s">
        <v>167</v>
      </c>
      <c r="BG288" s="1" t="s">
        <v>116</v>
      </c>
      <c r="BH288" s="1" t="s">
        <v>169</v>
      </c>
      <c r="BI288" s="1" t="s">
        <v>269</v>
      </c>
      <c r="BJ288" s="1" t="s">
        <v>208</v>
      </c>
      <c r="BK288" s="1">
        <v>50</v>
      </c>
      <c r="BL288" s="1" t="s">
        <v>209</v>
      </c>
      <c r="BM288" s="1" t="s">
        <v>210</v>
      </c>
      <c r="BN288" s="1" t="s">
        <v>143</v>
      </c>
      <c r="BO288" s="1">
        <v>8</v>
      </c>
      <c r="BP288" s="1" t="s">
        <v>124</v>
      </c>
      <c r="BQ288" s="1" t="s">
        <v>3635</v>
      </c>
      <c r="BR288" s="1" t="s">
        <v>3636</v>
      </c>
      <c r="BS288" s="1" t="s">
        <v>3637</v>
      </c>
      <c r="BT288" s="1" t="s">
        <v>172</v>
      </c>
      <c r="BU288" s="1" t="s">
        <v>239</v>
      </c>
      <c r="BV288" s="1" t="s">
        <v>3638</v>
      </c>
      <c r="BW288" s="1" t="s">
        <v>298</v>
      </c>
      <c r="BX288" s="1" t="s">
        <v>325</v>
      </c>
      <c r="BY288" s="1" t="s">
        <v>299</v>
      </c>
      <c r="BZ288" s="1" t="s">
        <v>3639</v>
      </c>
      <c r="CA288" s="1">
        <v>1000</v>
      </c>
      <c r="CB288" s="1" t="s">
        <v>244</v>
      </c>
      <c r="CC288" s="1" t="s">
        <v>217</v>
      </c>
      <c r="CD288" s="1" t="s">
        <v>3640</v>
      </c>
      <c r="CE288" s="1" t="s">
        <v>219</v>
      </c>
      <c r="CF288" s="6">
        <v>473654.96</v>
      </c>
      <c r="CG288" s="6">
        <v>1488900</v>
      </c>
      <c r="CH288" s="5" t="s">
        <v>1365</v>
      </c>
      <c r="CI288" s="5" t="s">
        <v>1365</v>
      </c>
      <c r="CJ288" s="5" t="s">
        <v>1365</v>
      </c>
      <c r="CK288" s="6">
        <v>495000</v>
      </c>
      <c r="CL288" s="4">
        <v>50000</v>
      </c>
      <c r="CM288" s="5" t="s">
        <v>1365</v>
      </c>
      <c r="CN288" s="5" t="s">
        <v>1365</v>
      </c>
      <c r="CO288" s="5" t="s">
        <v>1365</v>
      </c>
      <c r="CP288" s="5" t="s">
        <v>1365</v>
      </c>
      <c r="CQ288" s="5" t="s">
        <v>1365</v>
      </c>
      <c r="CS288" s="1" t="s">
        <v>140</v>
      </c>
      <c r="CT288" s="1" t="s">
        <v>573</v>
      </c>
      <c r="CV288" s="1" t="s">
        <v>3641</v>
      </c>
      <c r="CW288" s="1" t="s">
        <v>141</v>
      </c>
      <c r="CX288" s="1" t="s">
        <v>3642</v>
      </c>
      <c r="CY288" s="1" t="s">
        <v>143</v>
      </c>
      <c r="CZ288" s="1" t="s">
        <v>144</v>
      </c>
      <c r="DA288" s="1" t="s">
        <v>145</v>
      </c>
    </row>
    <row r="289" spans="1:105" s="3" customFormat="1" ht="11.25" customHeight="1" x14ac:dyDescent="0.2">
      <c r="A289" s="1">
        <v>41</v>
      </c>
      <c r="B289" s="1" t="s">
        <v>3644</v>
      </c>
      <c r="C289" s="1" t="s">
        <v>3643</v>
      </c>
      <c r="D289" s="1">
        <v>3549</v>
      </c>
      <c r="E289" s="2" t="s">
        <v>4201</v>
      </c>
      <c r="F289" s="1" t="s">
        <v>113</v>
      </c>
      <c r="G289" s="1" t="s">
        <v>190</v>
      </c>
      <c r="H289" s="1" t="s">
        <v>829</v>
      </c>
      <c r="I289" s="1" t="s">
        <v>229</v>
      </c>
      <c r="J289" s="1" t="s">
        <v>229</v>
      </c>
      <c r="K289" s="1" t="s">
        <v>829</v>
      </c>
      <c r="L289" s="1" t="s">
        <v>149</v>
      </c>
      <c r="M289" s="1" t="s">
        <v>3645</v>
      </c>
      <c r="N289" s="1" t="s">
        <v>151</v>
      </c>
      <c r="O289" s="1" t="s">
        <v>106</v>
      </c>
      <c r="P289" s="1" t="s">
        <v>113</v>
      </c>
      <c r="Q289" s="1" t="s">
        <v>111</v>
      </c>
      <c r="R289" s="1" t="s">
        <v>114</v>
      </c>
      <c r="S289" s="1" t="s">
        <v>114</v>
      </c>
      <c r="T289" s="1" t="s">
        <v>106</v>
      </c>
      <c r="U289" s="1" t="s">
        <v>3645</v>
      </c>
      <c r="V289" s="1" t="s">
        <v>3646</v>
      </c>
      <c r="W289" s="1" t="s">
        <v>115</v>
      </c>
      <c r="X289" s="1" t="s">
        <v>113</v>
      </c>
      <c r="Y289" s="1" t="s">
        <v>114</v>
      </c>
      <c r="Z289" s="1">
        <v>100</v>
      </c>
      <c r="AA289" s="1" t="s">
        <v>116</v>
      </c>
      <c r="AB289" s="1" t="s">
        <v>128</v>
      </c>
      <c r="AC289" s="1" t="s">
        <v>118</v>
      </c>
      <c r="AD289" s="1">
        <v>40</v>
      </c>
      <c r="AE289" s="1" t="s">
        <v>116</v>
      </c>
      <c r="AF289" s="1">
        <v>360</v>
      </c>
      <c r="AG289" s="1" t="s">
        <v>113</v>
      </c>
      <c r="AH289" s="1">
        <v>0</v>
      </c>
      <c r="AI289" s="1">
        <v>0</v>
      </c>
      <c r="AJ289" s="1">
        <v>0</v>
      </c>
      <c r="AK289" s="1" t="s">
        <v>648</v>
      </c>
      <c r="AL289" s="1">
        <v>0</v>
      </c>
      <c r="AM289" s="1" t="s">
        <v>3647</v>
      </c>
      <c r="AN289" s="1">
        <v>0</v>
      </c>
      <c r="AO289" s="1" t="s">
        <v>113</v>
      </c>
      <c r="AP289" s="1" t="s">
        <v>113</v>
      </c>
      <c r="AQ289" s="1" t="s">
        <v>114</v>
      </c>
      <c r="AR289" s="1" t="s">
        <v>114</v>
      </c>
      <c r="AS289" s="1" t="s">
        <v>114</v>
      </c>
      <c r="AT289" s="1" t="s">
        <v>123</v>
      </c>
      <c r="AU289" s="1" t="s">
        <v>113</v>
      </c>
      <c r="AV289" s="1" t="s">
        <v>113</v>
      </c>
      <c r="AW289" s="1" t="s">
        <v>164</v>
      </c>
      <c r="AY289" s="1">
        <v>0</v>
      </c>
      <c r="AZ289" s="1" t="s">
        <v>113</v>
      </c>
      <c r="BA289" s="1" t="s">
        <v>113</v>
      </c>
      <c r="BB289" s="1" t="s">
        <v>125</v>
      </c>
      <c r="BC289" s="1" t="s">
        <v>166</v>
      </c>
      <c r="BD289" s="1">
        <v>0</v>
      </c>
      <c r="BE289" s="1">
        <v>100</v>
      </c>
      <c r="BF289" s="1" t="s">
        <v>167</v>
      </c>
      <c r="BG289" s="1" t="s">
        <v>116</v>
      </c>
      <c r="BI289" s="1" t="s">
        <v>207</v>
      </c>
      <c r="BJ289" s="1" t="s">
        <v>208</v>
      </c>
      <c r="BK289" s="1">
        <v>50</v>
      </c>
      <c r="BL289" s="1" t="s">
        <v>270</v>
      </c>
      <c r="BM289" s="1" t="s">
        <v>210</v>
      </c>
      <c r="BN289" s="1" t="s">
        <v>143</v>
      </c>
      <c r="BO289" s="1" t="s">
        <v>143</v>
      </c>
      <c r="BP289" s="1" t="s">
        <v>124</v>
      </c>
      <c r="BQ289" s="1" t="s">
        <v>829</v>
      </c>
      <c r="BR289" s="1" t="s">
        <v>3648</v>
      </c>
      <c r="BS289" s="1" t="s">
        <v>3649</v>
      </c>
      <c r="BT289" s="1" t="s">
        <v>172</v>
      </c>
      <c r="BU289" s="1" t="s">
        <v>239</v>
      </c>
      <c r="BV289" s="1" t="s">
        <v>3650</v>
      </c>
      <c r="BW289" s="1" t="s">
        <v>298</v>
      </c>
      <c r="BX289" s="1" t="s">
        <v>325</v>
      </c>
      <c r="BY289" s="1" t="s">
        <v>299</v>
      </c>
      <c r="BZ289" s="1" t="s">
        <v>3651</v>
      </c>
      <c r="CA289" s="1">
        <v>300</v>
      </c>
      <c r="CB289" s="1" t="s">
        <v>176</v>
      </c>
      <c r="CC289" s="1" t="s">
        <v>301</v>
      </c>
      <c r="CD289" s="1" t="s">
        <v>3652</v>
      </c>
      <c r="CE289" s="1" t="s">
        <v>179</v>
      </c>
      <c r="CF289" s="6">
        <v>164092.51999999999</v>
      </c>
      <c r="CG289" s="6">
        <v>240000</v>
      </c>
      <c r="CH289" s="1">
        <v>250</v>
      </c>
      <c r="CI289" s="1">
        <v>0</v>
      </c>
      <c r="CJ289" s="1">
        <v>250</v>
      </c>
      <c r="CK289" s="1">
        <v>150</v>
      </c>
      <c r="CL289" s="1">
        <v>100</v>
      </c>
      <c r="CM289" s="1">
        <v>0</v>
      </c>
      <c r="CN289" s="1">
        <v>0</v>
      </c>
      <c r="CO289" s="1">
        <v>0</v>
      </c>
      <c r="CP289" s="1">
        <v>0</v>
      </c>
      <c r="CQ289" s="1">
        <v>0</v>
      </c>
      <c r="CR289" s="1" t="s">
        <v>139</v>
      </c>
      <c r="CS289" s="1" t="s">
        <v>308</v>
      </c>
      <c r="CT289" s="1" t="s">
        <v>1994</v>
      </c>
      <c r="CW289" s="1" t="s">
        <v>141</v>
      </c>
      <c r="CX289" s="1" t="s">
        <v>114</v>
      </c>
      <c r="CY289" s="1" t="s">
        <v>114</v>
      </c>
      <c r="CZ289" s="1" t="s">
        <v>144</v>
      </c>
      <c r="DA289" s="1" t="s">
        <v>145</v>
      </c>
    </row>
    <row r="290" spans="1:105" s="3" customFormat="1" ht="11.25" customHeight="1" x14ac:dyDescent="0.2">
      <c r="A290" s="1">
        <v>41</v>
      </c>
      <c r="B290" s="1" t="s">
        <v>3653</v>
      </c>
      <c r="C290" s="1" t="s">
        <v>3654</v>
      </c>
      <c r="D290" s="1">
        <v>16764</v>
      </c>
      <c r="E290" s="2" t="s">
        <v>1688</v>
      </c>
      <c r="F290" s="1"/>
      <c r="G290" s="1"/>
      <c r="H290" s="1"/>
      <c r="I290" s="1"/>
      <c r="J290" s="1"/>
      <c r="K290" s="1"/>
      <c r="L290" s="1"/>
      <c r="M290" s="1"/>
      <c r="N290" s="1"/>
      <c r="O290" s="1"/>
      <c r="P290" s="1"/>
      <c r="Q290" s="1"/>
      <c r="R290" s="1"/>
      <c r="S290" s="1"/>
      <c r="T290" s="1"/>
      <c r="U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row>
    <row r="291" spans="1:105" s="3" customFormat="1" ht="11.25" customHeight="1" x14ac:dyDescent="0.2">
      <c r="A291" s="3">
        <v>41</v>
      </c>
      <c r="B291" s="3" t="s">
        <v>3655</v>
      </c>
      <c r="C291" s="3" t="s">
        <v>3656</v>
      </c>
      <c r="D291" s="3">
        <v>17344</v>
      </c>
      <c r="E291" s="2" t="s">
        <v>1688</v>
      </c>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5"/>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5"/>
      <c r="CG291" s="5"/>
      <c r="CH291" s="5"/>
      <c r="CI291" s="5"/>
      <c r="CJ291" s="5"/>
      <c r="CK291" s="1"/>
      <c r="CL291" s="1"/>
      <c r="CM291" s="5"/>
      <c r="CN291" s="5"/>
      <c r="CO291" s="5"/>
      <c r="CP291" s="5"/>
      <c r="CQ291" s="5"/>
      <c r="CR291" s="1"/>
      <c r="CS291" s="1"/>
      <c r="CT291" s="1"/>
      <c r="CV291" s="1"/>
      <c r="CW291" s="1"/>
      <c r="CX291" s="1"/>
      <c r="CY291" s="1"/>
      <c r="CZ291" s="1"/>
      <c r="DA291" s="1"/>
    </row>
    <row r="292" spans="1:105" s="3" customFormat="1" ht="11.25" customHeight="1" x14ac:dyDescent="0.2">
      <c r="A292" s="1">
        <v>41</v>
      </c>
      <c r="B292" s="1" t="s">
        <v>3657</v>
      </c>
      <c r="C292" s="1" t="s">
        <v>1879</v>
      </c>
      <c r="D292" s="1">
        <v>3799</v>
      </c>
      <c r="E292" s="2" t="s">
        <v>4201</v>
      </c>
      <c r="F292" s="1" t="s">
        <v>113</v>
      </c>
      <c r="H292" s="1" t="s">
        <v>3658</v>
      </c>
      <c r="I292" s="1" t="s">
        <v>229</v>
      </c>
      <c r="J292" s="1" t="s">
        <v>229</v>
      </c>
      <c r="L292" s="1" t="s">
        <v>111</v>
      </c>
      <c r="M292" s="1" t="s">
        <v>230</v>
      </c>
      <c r="N292" s="1" t="s">
        <v>2020</v>
      </c>
      <c r="O292" s="1" t="s">
        <v>113</v>
      </c>
      <c r="P292" s="1" t="s">
        <v>113</v>
      </c>
      <c r="Q292" s="1" t="s">
        <v>195</v>
      </c>
      <c r="R292" s="1" t="s">
        <v>3659</v>
      </c>
      <c r="S292" s="1" t="s">
        <v>127</v>
      </c>
      <c r="T292" s="1" t="s">
        <v>106</v>
      </c>
      <c r="U292" s="1" t="s">
        <v>3659</v>
      </c>
      <c r="V292" s="1" t="s">
        <v>3660</v>
      </c>
      <c r="W292" s="1" t="s">
        <v>755</v>
      </c>
      <c r="X292" s="1" t="s">
        <v>113</v>
      </c>
      <c r="Y292" s="1" t="s">
        <v>127</v>
      </c>
      <c r="Z292" s="1">
        <v>100</v>
      </c>
      <c r="AA292" s="1" t="s">
        <v>116</v>
      </c>
      <c r="AB292" s="1" t="s">
        <v>128</v>
      </c>
      <c r="AC292" s="1" t="s">
        <v>128</v>
      </c>
      <c r="AD292" s="1">
        <v>0</v>
      </c>
      <c r="AE292" s="1" t="s">
        <v>116</v>
      </c>
      <c r="AF292" s="1">
        <v>720</v>
      </c>
      <c r="AG292" s="1" t="s">
        <v>113</v>
      </c>
      <c r="AH292" s="1">
        <v>0</v>
      </c>
      <c r="AI292" s="1">
        <v>0</v>
      </c>
      <c r="AJ292" s="1">
        <v>0</v>
      </c>
      <c r="AK292" s="1" t="s">
        <v>232</v>
      </c>
      <c r="AL292" s="1">
        <v>600</v>
      </c>
      <c r="AM292" s="1" t="s">
        <v>363</v>
      </c>
      <c r="AN292" s="1">
        <v>600</v>
      </c>
      <c r="AO292" s="1" t="s">
        <v>113</v>
      </c>
      <c r="AP292" s="1" t="s">
        <v>106</v>
      </c>
      <c r="AQ292" s="1" t="s">
        <v>3661</v>
      </c>
      <c r="AR292" s="1" t="s">
        <v>3662</v>
      </c>
      <c r="AS292" s="1" t="s">
        <v>3663</v>
      </c>
      <c r="AT292" s="1" t="s">
        <v>204</v>
      </c>
      <c r="AU292" s="1" t="s">
        <v>106</v>
      </c>
      <c r="AV292" s="1" t="s">
        <v>113</v>
      </c>
      <c r="AW292" s="1" t="s">
        <v>234</v>
      </c>
      <c r="AX292" s="1" t="s">
        <v>760</v>
      </c>
      <c r="AY292" s="1">
        <v>30</v>
      </c>
      <c r="AZ292" s="1" t="s">
        <v>113</v>
      </c>
      <c r="BA292" s="1" t="s">
        <v>113</v>
      </c>
      <c r="BB292" s="1" t="s">
        <v>125</v>
      </c>
      <c r="BD292" s="1">
        <v>0</v>
      </c>
      <c r="BE292" s="1">
        <v>100</v>
      </c>
      <c r="BF292" s="1" t="s">
        <v>167</v>
      </c>
      <c r="BG292" s="1" t="s">
        <v>383</v>
      </c>
      <c r="BH292" s="1" t="s">
        <v>569</v>
      </c>
      <c r="BI292" s="1" t="s">
        <v>569</v>
      </c>
      <c r="BJ292" s="1" t="s">
        <v>128</v>
      </c>
      <c r="BK292" s="1">
        <v>0</v>
      </c>
      <c r="BL292" s="1" t="s">
        <v>127</v>
      </c>
      <c r="BM292" s="1" t="s">
        <v>114</v>
      </c>
      <c r="BN292" s="1">
        <v>6</v>
      </c>
      <c r="BO292" s="1">
        <v>0</v>
      </c>
      <c r="BP292" s="1" t="s">
        <v>115</v>
      </c>
      <c r="BQ292" s="1" t="s">
        <v>3664</v>
      </c>
      <c r="BR292" s="1" t="s">
        <v>3665</v>
      </c>
      <c r="BS292" s="1" t="s">
        <v>3666</v>
      </c>
      <c r="BT292" s="1" t="s">
        <v>172</v>
      </c>
      <c r="BU292" s="1" t="s">
        <v>132</v>
      </c>
      <c r="BV292" s="1" t="s">
        <v>917</v>
      </c>
      <c r="BW292" s="1" t="s">
        <v>134</v>
      </c>
      <c r="BX292" s="1" t="s">
        <v>3281</v>
      </c>
      <c r="BY292" s="1" t="s">
        <v>135</v>
      </c>
      <c r="BZ292" s="1" t="s">
        <v>3667</v>
      </c>
      <c r="CA292" s="1">
        <v>720</v>
      </c>
      <c r="CB292" s="1" t="s">
        <v>244</v>
      </c>
      <c r="CC292" s="1" t="s">
        <v>177</v>
      </c>
      <c r="CD292" s="1" t="s">
        <v>3668</v>
      </c>
      <c r="CE292" s="1" t="s">
        <v>478</v>
      </c>
      <c r="CF292" s="1">
        <v>150000</v>
      </c>
      <c r="CG292" s="1">
        <v>200000</v>
      </c>
      <c r="CH292" s="1">
        <v>220</v>
      </c>
      <c r="CI292" s="1">
        <v>210</v>
      </c>
      <c r="CJ292" s="1">
        <v>220</v>
      </c>
      <c r="CK292" s="1">
        <v>200</v>
      </c>
      <c r="CL292" s="1">
        <v>200</v>
      </c>
      <c r="CM292" s="1">
        <v>200</v>
      </c>
      <c r="CN292" s="1">
        <v>200</v>
      </c>
      <c r="CO292" s="1">
        <v>200</v>
      </c>
      <c r="CP292" s="1">
        <v>200</v>
      </c>
      <c r="CQ292" s="1">
        <v>200</v>
      </c>
      <c r="CR292" s="1" t="s">
        <v>139</v>
      </c>
      <c r="CS292" s="1" t="s">
        <v>140</v>
      </c>
      <c r="CT292" s="1" t="s">
        <v>3585</v>
      </c>
      <c r="CU292" s="1" t="s">
        <v>617</v>
      </c>
      <c r="CV292" s="1" t="s">
        <v>1505</v>
      </c>
      <c r="CW292" s="1" t="s">
        <v>420</v>
      </c>
      <c r="CX292" s="1" t="s">
        <v>3669</v>
      </c>
      <c r="CY292" s="1" t="s">
        <v>143</v>
      </c>
      <c r="CZ292" s="1" t="s">
        <v>144</v>
      </c>
      <c r="DA292" s="1" t="s">
        <v>145</v>
      </c>
    </row>
    <row r="293" spans="1:105" s="3" customFormat="1" ht="11.25" customHeight="1" x14ac:dyDescent="0.2">
      <c r="A293" s="1">
        <v>41</v>
      </c>
      <c r="B293" s="1" t="s">
        <v>3671</v>
      </c>
      <c r="C293" s="1" t="s">
        <v>3670</v>
      </c>
      <c r="D293" s="1">
        <v>4336</v>
      </c>
      <c r="E293" s="2" t="s">
        <v>4201</v>
      </c>
      <c r="F293" s="1" t="s">
        <v>106</v>
      </c>
      <c r="G293" s="1" t="s">
        <v>254</v>
      </c>
      <c r="H293" s="1" t="s">
        <v>3672</v>
      </c>
      <c r="I293" s="1" t="s">
        <v>109</v>
      </c>
      <c r="J293" s="1" t="s">
        <v>106</v>
      </c>
      <c r="K293" s="1" t="s">
        <v>255</v>
      </c>
      <c r="L293" s="1" t="s">
        <v>149</v>
      </c>
      <c r="M293" s="1" t="s">
        <v>3673</v>
      </c>
      <c r="N293" s="1" t="s">
        <v>3674</v>
      </c>
      <c r="O293" s="1" t="s">
        <v>113</v>
      </c>
      <c r="P293" s="1" t="s">
        <v>113</v>
      </c>
      <c r="Q293" s="1" t="s">
        <v>195</v>
      </c>
      <c r="R293" s="1" t="s">
        <v>3675</v>
      </c>
      <c r="S293" s="1" t="s">
        <v>3675</v>
      </c>
      <c r="T293" s="1" t="s">
        <v>106</v>
      </c>
      <c r="U293" s="1" t="s">
        <v>3675</v>
      </c>
      <c r="V293" s="1" t="s">
        <v>3676</v>
      </c>
      <c r="W293" s="1" t="s">
        <v>115</v>
      </c>
      <c r="X293" s="1" t="s">
        <v>113</v>
      </c>
      <c r="Y293" s="1" t="s">
        <v>114</v>
      </c>
      <c r="Z293" s="1">
        <v>100</v>
      </c>
      <c r="AA293" s="1" t="s">
        <v>116</v>
      </c>
      <c r="AB293" s="1" t="s">
        <v>128</v>
      </c>
      <c r="AC293" s="1" t="s">
        <v>118</v>
      </c>
      <c r="AD293" s="1">
        <v>20</v>
      </c>
      <c r="AE293" s="1" t="s">
        <v>116</v>
      </c>
      <c r="AF293" s="1">
        <v>786</v>
      </c>
      <c r="AG293" s="1" t="s">
        <v>113</v>
      </c>
      <c r="AH293" s="1">
        <v>0</v>
      </c>
      <c r="AI293" s="1">
        <v>0</v>
      </c>
      <c r="AJ293" s="1">
        <v>0</v>
      </c>
      <c r="AK293" s="1" t="s">
        <v>408</v>
      </c>
      <c r="AM293" s="1" t="s">
        <v>3677</v>
      </c>
      <c r="AO293" s="1" t="s">
        <v>113</v>
      </c>
      <c r="AP293" s="1" t="s">
        <v>113</v>
      </c>
      <c r="AQ293" s="1" t="s">
        <v>114</v>
      </c>
      <c r="AR293" s="1" t="s">
        <v>114</v>
      </c>
      <c r="AS293" s="1" t="s">
        <v>114</v>
      </c>
      <c r="AT293" s="1" t="s">
        <v>1854</v>
      </c>
      <c r="AU293" s="1" t="s">
        <v>106</v>
      </c>
      <c r="AV293" s="1" t="s">
        <v>113</v>
      </c>
      <c r="AW293" s="1" t="s">
        <v>234</v>
      </c>
      <c r="AX293" s="1" t="s">
        <v>206</v>
      </c>
      <c r="AY293" s="1">
        <v>0</v>
      </c>
      <c r="AZ293" s="1" t="s">
        <v>113</v>
      </c>
      <c r="BA293" s="1" t="s">
        <v>113</v>
      </c>
      <c r="BB293" s="1" t="s">
        <v>125</v>
      </c>
      <c r="BD293" s="1">
        <v>0</v>
      </c>
      <c r="BE293" s="1">
        <v>100</v>
      </c>
      <c r="BF293" s="1" t="s">
        <v>167</v>
      </c>
      <c r="BG293" s="1" t="s">
        <v>116</v>
      </c>
      <c r="BH293" s="1" t="s">
        <v>168</v>
      </c>
      <c r="BI293" s="1" t="s">
        <v>269</v>
      </c>
      <c r="BJ293" s="1" t="s">
        <v>208</v>
      </c>
      <c r="BK293" s="1">
        <v>20</v>
      </c>
      <c r="BL293" s="1" t="s">
        <v>167</v>
      </c>
      <c r="BM293" s="1" t="s">
        <v>210</v>
      </c>
      <c r="BN293" s="1" t="s">
        <v>143</v>
      </c>
      <c r="BO293" s="1">
        <v>4</v>
      </c>
      <c r="BP293" s="1" t="s">
        <v>115</v>
      </c>
      <c r="BQ293" s="1" t="s">
        <v>255</v>
      </c>
      <c r="BR293" s="1" t="s">
        <v>3678</v>
      </c>
      <c r="BS293" s="1" t="s">
        <v>3679</v>
      </c>
      <c r="BT293" s="1" t="s">
        <v>172</v>
      </c>
      <c r="BU293" s="1" t="s">
        <v>3680</v>
      </c>
      <c r="BV293" s="1" t="s">
        <v>2235</v>
      </c>
      <c r="BW293" s="1" t="s">
        <v>134</v>
      </c>
      <c r="BX293" s="1" t="s">
        <v>325</v>
      </c>
      <c r="BY293" s="1" t="s">
        <v>299</v>
      </c>
      <c r="BZ293" s="1" t="s">
        <v>3681</v>
      </c>
      <c r="CA293" s="1">
        <v>755</v>
      </c>
      <c r="CB293" s="1" t="s">
        <v>244</v>
      </c>
      <c r="CC293" s="1" t="s">
        <v>217</v>
      </c>
      <c r="CE293" s="1" t="s">
        <v>219</v>
      </c>
      <c r="CF293" s="1">
        <v>80217</v>
      </c>
      <c r="CG293" s="1">
        <v>0</v>
      </c>
      <c r="CH293" s="1">
        <v>0</v>
      </c>
      <c r="CI293" s="1">
        <v>0</v>
      </c>
      <c r="CJ293" s="1">
        <v>0</v>
      </c>
      <c r="CK293" s="1">
        <v>0</v>
      </c>
      <c r="CL293" s="1">
        <v>0</v>
      </c>
      <c r="CM293" s="1">
        <v>0</v>
      </c>
      <c r="CN293" s="1">
        <v>0</v>
      </c>
      <c r="CO293" s="1">
        <v>0</v>
      </c>
      <c r="CP293" s="1">
        <v>0</v>
      </c>
      <c r="CQ293" s="1">
        <v>0</v>
      </c>
      <c r="CR293" s="1" t="s">
        <v>139</v>
      </c>
      <c r="CS293" s="1" t="s">
        <v>308</v>
      </c>
      <c r="CT293" s="1" t="s">
        <v>3682</v>
      </c>
      <c r="CV293" s="1" t="s">
        <v>788</v>
      </c>
      <c r="CW293" s="1" t="s">
        <v>251</v>
      </c>
      <c r="CX293" s="1" t="s">
        <v>430</v>
      </c>
      <c r="CY293" s="1" t="s">
        <v>143</v>
      </c>
      <c r="CZ293" s="1" t="s">
        <v>144</v>
      </c>
      <c r="DA293" s="1" t="s">
        <v>145</v>
      </c>
    </row>
    <row r="294" spans="1:105" s="3" customFormat="1" ht="11.25" customHeight="1" x14ac:dyDescent="0.2">
      <c r="A294" s="1">
        <v>41</v>
      </c>
      <c r="B294" s="1" t="s">
        <v>3684</v>
      </c>
      <c r="C294" s="1" t="s">
        <v>3683</v>
      </c>
      <c r="D294" s="1">
        <v>10121</v>
      </c>
      <c r="E294" s="2" t="s">
        <v>4201</v>
      </c>
      <c r="F294" s="1" t="s">
        <v>113</v>
      </c>
      <c r="G294" s="1" t="s">
        <v>190</v>
      </c>
      <c r="H294" s="1" t="s">
        <v>1338</v>
      </c>
      <c r="I294" s="1" t="s">
        <v>229</v>
      </c>
      <c r="J294" s="1" t="s">
        <v>229</v>
      </c>
      <c r="L294" s="1" t="s">
        <v>111</v>
      </c>
      <c r="M294" s="1" t="s">
        <v>115</v>
      </c>
      <c r="N294" s="1" t="s">
        <v>719</v>
      </c>
      <c r="O294" s="1" t="s">
        <v>113</v>
      </c>
      <c r="P294" s="1" t="s">
        <v>113</v>
      </c>
      <c r="Q294" s="1" t="s">
        <v>195</v>
      </c>
      <c r="R294" s="1" t="s">
        <v>3685</v>
      </c>
      <c r="S294" s="1" t="s">
        <v>3686</v>
      </c>
      <c r="T294" s="1" t="s">
        <v>106</v>
      </c>
      <c r="U294" s="1" t="s">
        <v>3687</v>
      </c>
      <c r="V294" s="1" t="s">
        <v>1319</v>
      </c>
      <c r="W294" s="1" t="s">
        <v>115</v>
      </c>
      <c r="X294" s="1" t="s">
        <v>113</v>
      </c>
      <c r="Y294" s="1" t="s">
        <v>114</v>
      </c>
      <c r="Z294" s="1">
        <v>100</v>
      </c>
      <c r="AA294" s="1" t="s">
        <v>116</v>
      </c>
      <c r="AB294" s="1" t="s">
        <v>128</v>
      </c>
      <c r="AC294" s="1" t="s">
        <v>118</v>
      </c>
      <c r="AD294" s="1">
        <v>20</v>
      </c>
      <c r="AE294" s="1" t="s">
        <v>132</v>
      </c>
      <c r="AF294" s="1">
        <v>2553</v>
      </c>
      <c r="AG294" s="1" t="s">
        <v>113</v>
      </c>
      <c r="AH294" s="1">
        <v>0</v>
      </c>
      <c r="AI294" s="1">
        <v>0</v>
      </c>
      <c r="AJ294" s="1">
        <v>0</v>
      </c>
      <c r="AK294" s="1" t="s">
        <v>796</v>
      </c>
      <c r="AL294" s="1">
        <v>200</v>
      </c>
      <c r="AM294" s="1" t="s">
        <v>172</v>
      </c>
      <c r="AN294" s="1">
        <v>200</v>
      </c>
      <c r="AO294" s="1" t="s">
        <v>113</v>
      </c>
      <c r="AP294" s="1" t="s">
        <v>106</v>
      </c>
      <c r="AQ294" s="1" t="s">
        <v>3688</v>
      </c>
      <c r="AR294" s="1" t="s">
        <v>3689</v>
      </c>
      <c r="AS294" s="1" t="s">
        <v>3690</v>
      </c>
      <c r="AT294" s="1" t="s">
        <v>3691</v>
      </c>
      <c r="AU294" s="1" t="s">
        <v>113</v>
      </c>
      <c r="AV294" s="1" t="s">
        <v>113</v>
      </c>
      <c r="AW294" s="1" t="s">
        <v>124</v>
      </c>
      <c r="AX294" s="1" t="s">
        <v>165</v>
      </c>
      <c r="AY294" s="1">
        <v>0</v>
      </c>
      <c r="AZ294" s="1" t="s">
        <v>113</v>
      </c>
      <c r="BA294" s="1" t="s">
        <v>113</v>
      </c>
      <c r="BB294" s="1" t="s">
        <v>125</v>
      </c>
      <c r="BC294" s="1" t="s">
        <v>166</v>
      </c>
      <c r="BD294" s="1">
        <v>0</v>
      </c>
      <c r="BE294" s="1">
        <v>100</v>
      </c>
      <c r="BF294" s="1" t="s">
        <v>167</v>
      </c>
      <c r="BG294" s="1" t="s">
        <v>132</v>
      </c>
      <c r="BH294" s="1" t="s">
        <v>269</v>
      </c>
      <c r="BI294" s="1" t="s">
        <v>269</v>
      </c>
      <c r="BJ294" s="1" t="s">
        <v>208</v>
      </c>
      <c r="BK294" s="1">
        <v>20</v>
      </c>
      <c r="BL294" s="1" t="s">
        <v>270</v>
      </c>
      <c r="BM294" s="1" t="s">
        <v>271</v>
      </c>
      <c r="BN294" s="5" t="s">
        <v>1024</v>
      </c>
      <c r="BO294" s="5" t="s">
        <v>1024</v>
      </c>
      <c r="BP294" s="1" t="s">
        <v>115</v>
      </c>
      <c r="BQ294" s="1" t="s">
        <v>1338</v>
      </c>
      <c r="BR294" s="1" t="s">
        <v>3692</v>
      </c>
      <c r="BS294" s="1" t="s">
        <v>3693</v>
      </c>
      <c r="BT294" s="1" t="s">
        <v>131</v>
      </c>
      <c r="BU294" s="1" t="s">
        <v>239</v>
      </c>
      <c r="BV294" s="1" t="s">
        <v>713</v>
      </c>
      <c r="BW294" s="1" t="s">
        <v>134</v>
      </c>
      <c r="BX294" s="1" t="s">
        <v>3694</v>
      </c>
      <c r="BY294" s="1" t="s">
        <v>135</v>
      </c>
      <c r="BZ294" s="1" t="s">
        <v>3695</v>
      </c>
      <c r="CA294" s="4">
        <v>2553</v>
      </c>
      <c r="CB294" s="1" t="s">
        <v>176</v>
      </c>
      <c r="CC294" s="1" t="s">
        <v>177</v>
      </c>
      <c r="CD294" s="1" t="s">
        <v>3696</v>
      </c>
      <c r="CE294" s="1" t="s">
        <v>219</v>
      </c>
      <c r="CF294" s="6">
        <v>272663.34000000003</v>
      </c>
      <c r="CG294" s="6">
        <v>1448085.69</v>
      </c>
      <c r="CH294" s="1">
        <v>225</v>
      </c>
      <c r="CI294" s="1">
        <v>225</v>
      </c>
      <c r="CJ294" s="1">
        <v>225</v>
      </c>
      <c r="CK294" s="1">
        <v>350</v>
      </c>
      <c r="CL294" s="1">
        <v>350</v>
      </c>
      <c r="CM294" s="1">
        <v>225</v>
      </c>
      <c r="CN294" s="1">
        <v>0</v>
      </c>
      <c r="CO294" s="1">
        <v>0</v>
      </c>
      <c r="CP294" s="1">
        <v>0</v>
      </c>
      <c r="CQ294" s="1">
        <v>0</v>
      </c>
      <c r="CR294" s="1" t="s">
        <v>180</v>
      </c>
      <c r="CS294" s="1" t="s">
        <v>140</v>
      </c>
      <c r="CT294" s="1" t="s">
        <v>3697</v>
      </c>
      <c r="CV294" s="1" t="s">
        <v>3698</v>
      </c>
      <c r="CW294" s="1" t="s">
        <v>420</v>
      </c>
      <c r="CX294" s="1" t="s">
        <v>3699</v>
      </c>
      <c r="CY294" s="1" t="s">
        <v>143</v>
      </c>
      <c r="CZ294" s="1" t="s">
        <v>144</v>
      </c>
      <c r="DA294" s="1" t="s">
        <v>145</v>
      </c>
    </row>
    <row r="295" spans="1:105" s="3" customFormat="1" ht="11.25" customHeight="1" x14ac:dyDescent="0.2">
      <c r="A295" s="1">
        <v>41</v>
      </c>
      <c r="B295" s="1" t="s">
        <v>3701</v>
      </c>
      <c r="C295" s="1" t="s">
        <v>3700</v>
      </c>
      <c r="D295" s="1">
        <v>50428</v>
      </c>
      <c r="E295" s="2" t="s">
        <v>4201</v>
      </c>
      <c r="F295" s="1" t="s">
        <v>113</v>
      </c>
      <c r="G295" s="1" t="s">
        <v>190</v>
      </c>
      <c r="H295" s="1" t="s">
        <v>3702</v>
      </c>
      <c r="I295" s="1" t="s">
        <v>229</v>
      </c>
      <c r="J295" s="1" t="s">
        <v>229</v>
      </c>
      <c r="K295" s="1" t="s">
        <v>3702</v>
      </c>
      <c r="L295" s="1" t="s">
        <v>149</v>
      </c>
      <c r="M295" s="1" t="s">
        <v>3703</v>
      </c>
      <c r="N295" s="1" t="s">
        <v>2226</v>
      </c>
      <c r="O295" s="1" t="s">
        <v>113</v>
      </c>
      <c r="P295" s="1" t="s">
        <v>113</v>
      </c>
      <c r="Q295" s="1" t="s">
        <v>111</v>
      </c>
      <c r="R295" s="1" t="s">
        <v>114</v>
      </c>
      <c r="S295" s="1" t="s">
        <v>114</v>
      </c>
      <c r="T295" s="1" t="s">
        <v>106</v>
      </c>
      <c r="U295" s="1" t="s">
        <v>3703</v>
      </c>
      <c r="V295" s="1" t="s">
        <v>3704</v>
      </c>
      <c r="W295" s="1" t="s">
        <v>115</v>
      </c>
      <c r="X295" s="1" t="s">
        <v>113</v>
      </c>
      <c r="Y295" s="1" t="s">
        <v>114</v>
      </c>
      <c r="Z295" s="1">
        <v>100</v>
      </c>
      <c r="AA295" s="1" t="s">
        <v>132</v>
      </c>
      <c r="AB295" s="1" t="s">
        <v>128</v>
      </c>
      <c r="AC295" s="1" t="s">
        <v>384</v>
      </c>
      <c r="AD295" s="1">
        <v>100</v>
      </c>
      <c r="AE295" s="1" t="s">
        <v>116</v>
      </c>
      <c r="AF295" s="4">
        <v>875741</v>
      </c>
      <c r="AG295" s="1" t="s">
        <v>113</v>
      </c>
      <c r="AH295" s="1">
        <v>60</v>
      </c>
      <c r="AI295" s="1">
        <v>20</v>
      </c>
      <c r="AJ295" s="1">
        <v>80</v>
      </c>
      <c r="AK295" s="1" t="s">
        <v>119</v>
      </c>
      <c r="AM295" s="1" t="s">
        <v>2279</v>
      </c>
      <c r="AP295" s="1" t="s">
        <v>106</v>
      </c>
      <c r="AQ295" s="1" t="s">
        <v>3705</v>
      </c>
      <c r="AR295" s="1" t="s">
        <v>3706</v>
      </c>
      <c r="AS295" s="1" t="s">
        <v>3707</v>
      </c>
      <c r="AT295" s="1" t="s">
        <v>123</v>
      </c>
      <c r="AU295" s="1" t="s">
        <v>113</v>
      </c>
      <c r="AV295" s="1" t="s">
        <v>113</v>
      </c>
      <c r="AW295" s="1" t="s">
        <v>164</v>
      </c>
      <c r="AY295" s="1">
        <v>0</v>
      </c>
      <c r="AZ295" s="1" t="s">
        <v>106</v>
      </c>
      <c r="BA295" s="1" t="s">
        <v>113</v>
      </c>
      <c r="BB295" s="1" t="s">
        <v>125</v>
      </c>
      <c r="BD295" s="1">
        <v>0</v>
      </c>
      <c r="BE295" s="1">
        <v>100</v>
      </c>
      <c r="BF295" s="1" t="s">
        <v>167</v>
      </c>
      <c r="BG295" s="1" t="s">
        <v>132</v>
      </c>
      <c r="BJ295" s="1" t="s">
        <v>384</v>
      </c>
      <c r="BK295" s="1">
        <v>100</v>
      </c>
      <c r="BL295" s="1" t="s">
        <v>167</v>
      </c>
      <c r="BM295" s="1" t="s">
        <v>210</v>
      </c>
      <c r="BN295" s="1">
        <v>9</v>
      </c>
      <c r="BO295" s="1">
        <v>4</v>
      </c>
      <c r="BP295" s="1" t="s">
        <v>115</v>
      </c>
      <c r="BQ295" s="1" t="s">
        <v>984</v>
      </c>
      <c r="BR295" s="1" t="s">
        <v>3708</v>
      </c>
      <c r="BS295" s="1" t="s">
        <v>3709</v>
      </c>
      <c r="BT295" s="1" t="s">
        <v>172</v>
      </c>
      <c r="BU295" s="1" t="s">
        <v>132</v>
      </c>
      <c r="BV295" s="1" t="s">
        <v>2994</v>
      </c>
      <c r="BW295" s="1" t="s">
        <v>298</v>
      </c>
      <c r="BX295" s="1" t="s">
        <v>325</v>
      </c>
      <c r="BY295" s="1" t="s">
        <v>299</v>
      </c>
      <c r="BZ295" s="1" t="s">
        <v>157</v>
      </c>
      <c r="CA295" s="1">
        <v>0</v>
      </c>
      <c r="CB295" s="1" t="s">
        <v>176</v>
      </c>
      <c r="CC295" s="1" t="s">
        <v>177</v>
      </c>
      <c r="CD295" s="1" t="s">
        <v>3710</v>
      </c>
      <c r="CE295" s="1" t="s">
        <v>478</v>
      </c>
      <c r="CF295" s="1">
        <v>217734757</v>
      </c>
      <c r="CG295" s="1">
        <v>290724796</v>
      </c>
      <c r="CH295" s="1">
        <v>0</v>
      </c>
      <c r="CI295" s="1">
        <v>75893460</v>
      </c>
      <c r="CJ295" s="1">
        <v>0</v>
      </c>
      <c r="CK295" s="1">
        <v>290724796</v>
      </c>
      <c r="CL295" s="1">
        <v>0</v>
      </c>
      <c r="CM295" s="1">
        <v>0</v>
      </c>
      <c r="CN295" s="1">
        <v>0</v>
      </c>
      <c r="CO295" s="1">
        <v>0</v>
      </c>
      <c r="CP295" s="1">
        <v>0</v>
      </c>
      <c r="CQ295" s="1">
        <v>0</v>
      </c>
      <c r="CS295" s="1" t="s">
        <v>140</v>
      </c>
      <c r="CT295" s="1" t="s">
        <v>498</v>
      </c>
      <c r="CU295" s="1" t="s">
        <v>617</v>
      </c>
      <c r="CW295" s="1" t="s">
        <v>251</v>
      </c>
      <c r="CX295" s="1" t="s">
        <v>157</v>
      </c>
      <c r="CY295" s="1" t="s">
        <v>143</v>
      </c>
      <c r="CZ295" s="1" t="s">
        <v>144</v>
      </c>
      <c r="DA295" s="1" t="s">
        <v>145</v>
      </c>
    </row>
    <row r="296" spans="1:105" s="3" customFormat="1" ht="11.25" customHeight="1" x14ac:dyDescent="0.2">
      <c r="A296" s="1">
        <v>41</v>
      </c>
      <c r="B296" s="1" t="s">
        <v>3712</v>
      </c>
      <c r="C296" s="1" t="s">
        <v>3711</v>
      </c>
      <c r="D296" s="1">
        <v>4170</v>
      </c>
      <c r="E296" s="2" t="s">
        <v>4201</v>
      </c>
      <c r="F296" s="1" t="s">
        <v>113</v>
      </c>
      <c r="G296" s="1" t="s">
        <v>190</v>
      </c>
      <c r="H296" s="1" t="s">
        <v>1320</v>
      </c>
      <c r="I296" s="1" t="s">
        <v>229</v>
      </c>
      <c r="J296" s="1" t="s">
        <v>229</v>
      </c>
      <c r="K296" s="1" t="s">
        <v>157</v>
      </c>
      <c r="L296" s="1" t="s">
        <v>111</v>
      </c>
      <c r="M296" s="1" t="s">
        <v>465</v>
      </c>
      <c r="N296" s="1" t="s">
        <v>112</v>
      </c>
      <c r="O296" s="1" t="s">
        <v>113</v>
      </c>
      <c r="P296" s="1" t="s">
        <v>113</v>
      </c>
      <c r="Q296" s="1" t="s">
        <v>195</v>
      </c>
      <c r="R296" s="1" t="s">
        <v>3713</v>
      </c>
      <c r="S296" s="1" t="s">
        <v>3713</v>
      </c>
      <c r="T296" s="1" t="s">
        <v>113</v>
      </c>
      <c r="U296" s="1" t="s">
        <v>114</v>
      </c>
      <c r="V296" s="1" t="s">
        <v>3714</v>
      </c>
      <c r="W296" s="1" t="s">
        <v>199</v>
      </c>
      <c r="X296" s="1" t="s">
        <v>113</v>
      </c>
      <c r="Y296" s="1" t="s">
        <v>114</v>
      </c>
      <c r="Z296" s="1">
        <v>100</v>
      </c>
      <c r="AA296" s="1" t="s">
        <v>116</v>
      </c>
      <c r="AB296" s="1" t="s">
        <v>117</v>
      </c>
      <c r="AC296" s="1" t="s">
        <v>118</v>
      </c>
      <c r="AD296" s="1">
        <v>80</v>
      </c>
      <c r="AE296" s="1" t="s">
        <v>116</v>
      </c>
      <c r="AF296" s="4">
        <v>637010</v>
      </c>
      <c r="AG296" s="1" t="s">
        <v>113</v>
      </c>
      <c r="AH296" s="1">
        <v>0</v>
      </c>
      <c r="AI296" s="1">
        <v>0</v>
      </c>
      <c r="AJ296" s="1">
        <v>0</v>
      </c>
      <c r="AK296" s="1" t="s">
        <v>530</v>
      </c>
      <c r="AL296" s="1">
        <v>50</v>
      </c>
      <c r="AM296" s="1" t="s">
        <v>120</v>
      </c>
      <c r="AN296" s="1">
        <v>50</v>
      </c>
      <c r="AO296" s="1" t="s">
        <v>113</v>
      </c>
      <c r="AP296" s="1" t="s">
        <v>106</v>
      </c>
      <c r="AQ296" s="1" t="s">
        <v>3715</v>
      </c>
      <c r="AR296" s="1" t="s">
        <v>3716</v>
      </c>
      <c r="AS296" s="1" t="s">
        <v>3717</v>
      </c>
      <c r="AT296" s="1" t="s">
        <v>123</v>
      </c>
      <c r="AU296" s="1" t="s">
        <v>113</v>
      </c>
      <c r="AV296" s="1" t="s">
        <v>113</v>
      </c>
      <c r="AW296" s="1" t="s">
        <v>164</v>
      </c>
      <c r="AX296" s="1" t="s">
        <v>165</v>
      </c>
      <c r="AY296" s="1">
        <v>0</v>
      </c>
      <c r="AZ296" s="1" t="s">
        <v>113</v>
      </c>
      <c r="BA296" s="1" t="s">
        <v>113</v>
      </c>
      <c r="BB296" s="1" t="s">
        <v>125</v>
      </c>
      <c r="BC296" s="1" t="s">
        <v>166</v>
      </c>
      <c r="BD296" s="1">
        <v>0</v>
      </c>
      <c r="BE296" s="1">
        <v>100</v>
      </c>
      <c r="BF296" s="1" t="s">
        <v>167</v>
      </c>
      <c r="BG296" s="1" t="s">
        <v>116</v>
      </c>
      <c r="BH296" s="1" t="s">
        <v>207</v>
      </c>
      <c r="BI296" s="1" t="s">
        <v>569</v>
      </c>
      <c r="BJ296" s="1" t="s">
        <v>384</v>
      </c>
      <c r="BK296" s="1">
        <v>100</v>
      </c>
      <c r="BL296" s="1" t="s">
        <v>270</v>
      </c>
      <c r="BM296" s="1" t="s">
        <v>210</v>
      </c>
      <c r="BN296" s="1" t="s">
        <v>143</v>
      </c>
      <c r="BO296" s="1" t="s">
        <v>143</v>
      </c>
      <c r="BP296" s="1" t="s">
        <v>115</v>
      </c>
      <c r="BQ296" s="1" t="s">
        <v>114</v>
      </c>
      <c r="BR296" s="1" t="s">
        <v>3718</v>
      </c>
      <c r="BS296" s="1" t="s">
        <v>3719</v>
      </c>
      <c r="BT296" s="1" t="s">
        <v>172</v>
      </c>
      <c r="BU296" s="1" t="s">
        <v>132</v>
      </c>
      <c r="BV296" s="1" t="s">
        <v>3720</v>
      </c>
      <c r="BW296" s="1" t="s">
        <v>134</v>
      </c>
      <c r="BX296" s="1" t="s">
        <v>325</v>
      </c>
      <c r="BY296" s="1" t="s">
        <v>299</v>
      </c>
      <c r="BZ296" s="1" t="s">
        <v>157</v>
      </c>
      <c r="CA296" s="4">
        <v>637010</v>
      </c>
      <c r="CB296" s="1" t="s">
        <v>244</v>
      </c>
      <c r="CC296" s="1" t="s">
        <v>177</v>
      </c>
      <c r="CD296" s="1" t="s">
        <v>3721</v>
      </c>
      <c r="CE296" s="1" t="s">
        <v>179</v>
      </c>
      <c r="CF296" s="1" t="s">
        <v>157</v>
      </c>
      <c r="CG296" s="1" t="s">
        <v>157</v>
      </c>
      <c r="CH296" s="1" t="s">
        <v>3722</v>
      </c>
      <c r="CI296" s="1">
        <v>304</v>
      </c>
      <c r="CJ296" s="1" t="s">
        <v>3723</v>
      </c>
      <c r="CK296" s="1">
        <v>50</v>
      </c>
      <c r="CL296" s="1">
        <v>0</v>
      </c>
      <c r="CM296" s="1">
        <v>0</v>
      </c>
      <c r="CN296" s="1">
        <v>0</v>
      </c>
      <c r="CO296" s="1">
        <v>0</v>
      </c>
      <c r="CP296" s="1">
        <v>0</v>
      </c>
      <c r="CQ296" s="1">
        <v>0</v>
      </c>
      <c r="CR296" s="1" t="s">
        <v>139</v>
      </c>
      <c r="CS296" s="1" t="s">
        <v>327</v>
      </c>
      <c r="CT296" s="1" t="s">
        <v>1309</v>
      </c>
      <c r="CV296" s="1" t="s">
        <v>500</v>
      </c>
      <c r="CW296" s="1" t="s">
        <v>251</v>
      </c>
      <c r="CX296" s="1" t="s">
        <v>114</v>
      </c>
      <c r="CY296" s="1" t="s">
        <v>143</v>
      </c>
      <c r="CZ296" s="1" t="s">
        <v>144</v>
      </c>
      <c r="DA296" s="1" t="s">
        <v>145</v>
      </c>
    </row>
    <row r="297" spans="1:105" s="3" customFormat="1" ht="11.25" customHeight="1" x14ac:dyDescent="0.2">
      <c r="A297" s="1">
        <v>41</v>
      </c>
      <c r="B297" s="1" t="s">
        <v>3725</v>
      </c>
      <c r="C297" s="1" t="s">
        <v>3724</v>
      </c>
      <c r="D297" s="1">
        <v>25109</v>
      </c>
      <c r="E297" s="2" t="s">
        <v>4201</v>
      </c>
      <c r="F297" s="1" t="s">
        <v>106</v>
      </c>
      <c r="G297" s="1" t="s">
        <v>107</v>
      </c>
      <c r="H297" s="1" t="s">
        <v>108</v>
      </c>
      <c r="I297" s="1" t="s">
        <v>109</v>
      </c>
      <c r="J297" s="1" t="s">
        <v>106</v>
      </c>
      <c r="K297" s="1" t="s">
        <v>110</v>
      </c>
      <c r="L297" s="1" t="s">
        <v>111</v>
      </c>
      <c r="M297" s="1" t="s">
        <v>111</v>
      </c>
      <c r="N297" s="1" t="s">
        <v>506</v>
      </c>
      <c r="O297" s="1" t="s">
        <v>106</v>
      </c>
      <c r="P297" s="1" t="s">
        <v>113</v>
      </c>
      <c r="Q297" s="1" t="s">
        <v>258</v>
      </c>
      <c r="R297" s="1" t="s">
        <v>3726</v>
      </c>
      <c r="S297" s="1" t="s">
        <v>3727</v>
      </c>
      <c r="T297" s="1" t="s">
        <v>113</v>
      </c>
      <c r="U297" s="1" t="s">
        <v>114</v>
      </c>
      <c r="W297" s="1" t="s">
        <v>115</v>
      </c>
      <c r="X297" s="1" t="s">
        <v>113</v>
      </c>
      <c r="Y297" s="1" t="s">
        <v>114</v>
      </c>
      <c r="Z297" s="1">
        <v>100</v>
      </c>
      <c r="AA297" s="1" t="s">
        <v>132</v>
      </c>
      <c r="AB297" s="1" t="s">
        <v>117</v>
      </c>
      <c r="AC297" s="1" t="s">
        <v>384</v>
      </c>
      <c r="AD297" s="1">
        <v>100</v>
      </c>
      <c r="AE297" s="1" t="s">
        <v>132</v>
      </c>
      <c r="AF297" s="1">
        <v>4590</v>
      </c>
      <c r="AG297" s="1" t="s">
        <v>113</v>
      </c>
      <c r="AH297" s="1">
        <v>0</v>
      </c>
      <c r="AI297" s="1">
        <v>0</v>
      </c>
      <c r="AJ297" s="1">
        <v>0</v>
      </c>
      <c r="AK297" s="1" t="s">
        <v>626</v>
      </c>
      <c r="AL297" s="1">
        <v>7920</v>
      </c>
      <c r="AM297" s="1" t="s">
        <v>1091</v>
      </c>
      <c r="AN297" s="1">
        <v>7920</v>
      </c>
      <c r="AO297" s="1" t="s">
        <v>113</v>
      </c>
      <c r="AP297" s="1" t="s">
        <v>106</v>
      </c>
      <c r="AQ297" s="1" t="s">
        <v>3728</v>
      </c>
      <c r="AR297" s="1" t="s">
        <v>3729</v>
      </c>
      <c r="AS297" s="1" t="s">
        <v>3730</v>
      </c>
      <c r="AT297" s="1" t="s">
        <v>123</v>
      </c>
      <c r="AU297" s="1" t="s">
        <v>113</v>
      </c>
      <c r="AV297" s="1" t="s">
        <v>113</v>
      </c>
      <c r="AW297" s="1" t="s">
        <v>164</v>
      </c>
      <c r="AY297" s="1">
        <v>0</v>
      </c>
      <c r="AZ297" s="1" t="s">
        <v>113</v>
      </c>
      <c r="BA297" s="1" t="s">
        <v>113</v>
      </c>
      <c r="BB297" s="1" t="s">
        <v>125</v>
      </c>
      <c r="BD297" s="1">
        <v>0</v>
      </c>
      <c r="BE297" s="1">
        <v>100</v>
      </c>
      <c r="BF297" s="1" t="s">
        <v>167</v>
      </c>
      <c r="BG297" s="1" t="s">
        <v>116</v>
      </c>
      <c r="BH297" s="1" t="s">
        <v>168</v>
      </c>
      <c r="BI297" s="1" t="s">
        <v>207</v>
      </c>
      <c r="BJ297" s="1" t="s">
        <v>384</v>
      </c>
      <c r="BK297" s="1">
        <v>100</v>
      </c>
      <c r="BL297" s="1" t="s">
        <v>167</v>
      </c>
      <c r="BM297" s="1" t="s">
        <v>210</v>
      </c>
      <c r="BN297" s="1">
        <v>36</v>
      </c>
      <c r="BP297" s="1" t="s">
        <v>115</v>
      </c>
      <c r="BQ297" s="1" t="s">
        <v>110</v>
      </c>
      <c r="BR297" s="1" t="s">
        <v>3731</v>
      </c>
      <c r="BS297" s="1" t="s">
        <v>3732</v>
      </c>
      <c r="BT297" s="1" t="s">
        <v>172</v>
      </c>
      <c r="BU297" s="1" t="s">
        <v>173</v>
      </c>
      <c r="BV297" s="1" t="s">
        <v>174</v>
      </c>
      <c r="BW297" s="1" t="s">
        <v>134</v>
      </c>
      <c r="BX297" s="1" t="s">
        <v>135</v>
      </c>
      <c r="BY297" s="1" t="s">
        <v>135</v>
      </c>
      <c r="BZ297" s="1" t="s">
        <v>3733</v>
      </c>
      <c r="CA297" s="1">
        <v>5315</v>
      </c>
      <c r="CB297" s="1" t="s">
        <v>176</v>
      </c>
      <c r="CC297" s="1" t="s">
        <v>177</v>
      </c>
      <c r="CD297" s="1" t="s">
        <v>3734</v>
      </c>
      <c r="CE297" s="1" t="s">
        <v>179</v>
      </c>
      <c r="CF297" s="1">
        <v>3395400.17</v>
      </c>
      <c r="CG297" s="1">
        <v>3686424.23</v>
      </c>
      <c r="CH297" s="1">
        <v>263.12</v>
      </c>
      <c r="CI297" s="1">
        <v>90.32</v>
      </c>
      <c r="CJ297" s="1">
        <v>98</v>
      </c>
      <c r="CK297" s="1">
        <v>1252.2</v>
      </c>
      <c r="CL297" s="1">
        <v>53</v>
      </c>
      <c r="CM297" s="1">
        <v>98</v>
      </c>
      <c r="CN297" s="1">
        <v>0</v>
      </c>
      <c r="CO297" s="1">
        <v>0</v>
      </c>
      <c r="CP297" s="1">
        <v>0</v>
      </c>
      <c r="CQ297" s="1">
        <v>0</v>
      </c>
      <c r="CR297" s="1" t="s">
        <v>139</v>
      </c>
      <c r="CS297" s="1" t="s">
        <v>140</v>
      </c>
      <c r="CT297" s="1" t="s">
        <v>3735</v>
      </c>
      <c r="CU297" s="1" t="s">
        <v>460</v>
      </c>
      <c r="CV297" s="1" t="s">
        <v>3736</v>
      </c>
      <c r="CW297" s="1" t="s">
        <v>141</v>
      </c>
      <c r="CX297" s="1" t="s">
        <v>3737</v>
      </c>
      <c r="CY297" s="1" t="s">
        <v>143</v>
      </c>
      <c r="CZ297" s="1" t="s">
        <v>144</v>
      </c>
      <c r="DA297" s="1" t="s">
        <v>145</v>
      </c>
    </row>
    <row r="298" spans="1:105" s="3" customFormat="1" ht="11.25" customHeight="1" x14ac:dyDescent="0.2">
      <c r="A298" s="1">
        <v>41</v>
      </c>
      <c r="B298" s="1" t="s">
        <v>3739</v>
      </c>
      <c r="C298" s="1" t="s">
        <v>3738</v>
      </c>
      <c r="D298" s="1">
        <v>4636</v>
      </c>
      <c r="E298" s="2" t="s">
        <v>4201</v>
      </c>
      <c r="F298" s="1" t="s">
        <v>106</v>
      </c>
      <c r="G298" s="1" t="s">
        <v>603</v>
      </c>
      <c r="H298" s="1" t="s">
        <v>604</v>
      </c>
      <c r="I298" s="1" t="s">
        <v>3740</v>
      </c>
      <c r="J298" s="1" t="s">
        <v>113</v>
      </c>
      <c r="K298" s="1" t="s">
        <v>3741</v>
      </c>
      <c r="L298" s="1" t="s">
        <v>111</v>
      </c>
      <c r="M298" s="1" t="s">
        <v>111</v>
      </c>
      <c r="N298" s="1" t="s">
        <v>2002</v>
      </c>
      <c r="O298" s="1" t="s">
        <v>113</v>
      </c>
      <c r="P298" s="1" t="s">
        <v>113</v>
      </c>
      <c r="Q298" s="1" t="s">
        <v>195</v>
      </c>
      <c r="R298" s="7" t="s">
        <v>3742</v>
      </c>
      <c r="S298" s="1" t="s">
        <v>373</v>
      </c>
      <c r="T298" s="1" t="s">
        <v>106</v>
      </c>
      <c r="U298" s="7" t="s">
        <v>3743</v>
      </c>
      <c r="V298" s="1" t="s">
        <v>3744</v>
      </c>
      <c r="W298" s="1" t="s">
        <v>115</v>
      </c>
      <c r="X298" s="1" t="s">
        <v>113</v>
      </c>
      <c r="Z298" s="1">
        <v>100</v>
      </c>
      <c r="AA298" s="1" t="s">
        <v>132</v>
      </c>
      <c r="AB298" s="1" t="s">
        <v>128</v>
      </c>
      <c r="AC298" s="1" t="s">
        <v>384</v>
      </c>
      <c r="AD298" s="1">
        <v>100</v>
      </c>
      <c r="AE298" s="1" t="s">
        <v>132</v>
      </c>
      <c r="AF298" s="1">
        <v>863</v>
      </c>
      <c r="AG298" s="1" t="s">
        <v>106</v>
      </c>
      <c r="AH298" s="1">
        <v>81</v>
      </c>
      <c r="AI298" s="1">
        <v>19</v>
      </c>
      <c r="AJ298" s="1">
        <v>20</v>
      </c>
      <c r="AK298" s="1" t="s">
        <v>408</v>
      </c>
      <c r="AL298" s="1">
        <v>35</v>
      </c>
      <c r="AM298" s="1" t="s">
        <v>3745</v>
      </c>
      <c r="AN298" s="1">
        <v>0</v>
      </c>
      <c r="AO298" s="1" t="s">
        <v>113</v>
      </c>
      <c r="AP298" s="1" t="s">
        <v>113</v>
      </c>
      <c r="AQ298" s="1" t="s">
        <v>157</v>
      </c>
      <c r="AR298" s="1" t="s">
        <v>157</v>
      </c>
      <c r="AS298" s="1" t="s">
        <v>373</v>
      </c>
      <c r="AT298" s="1" t="s">
        <v>204</v>
      </c>
      <c r="AU298" s="1" t="s">
        <v>106</v>
      </c>
      <c r="AV298" s="1" t="s">
        <v>113</v>
      </c>
      <c r="AW298" s="1" t="s">
        <v>234</v>
      </c>
      <c r="AX298" s="1" t="s">
        <v>206</v>
      </c>
      <c r="AY298" s="1">
        <v>0</v>
      </c>
      <c r="AZ298" s="1" t="s">
        <v>113</v>
      </c>
      <c r="BA298" s="1" t="s">
        <v>113</v>
      </c>
      <c r="BB298" s="1" t="s">
        <v>125</v>
      </c>
      <c r="BC298" s="1" t="s">
        <v>166</v>
      </c>
      <c r="BD298" s="1">
        <v>0</v>
      </c>
      <c r="BE298" s="1">
        <v>100</v>
      </c>
      <c r="BF298" s="1" t="s">
        <v>167</v>
      </c>
      <c r="BG298" s="1" t="s">
        <v>132</v>
      </c>
      <c r="BH298" s="1" t="s">
        <v>168</v>
      </c>
      <c r="BI298" s="1" t="s">
        <v>269</v>
      </c>
      <c r="BJ298" s="1" t="s">
        <v>384</v>
      </c>
      <c r="BK298" s="1">
        <v>100</v>
      </c>
      <c r="BL298" s="1" t="s">
        <v>167</v>
      </c>
      <c r="BM298" s="1" t="s">
        <v>472</v>
      </c>
      <c r="BN298" s="1" t="s">
        <v>276</v>
      </c>
      <c r="BO298" s="1">
        <v>6</v>
      </c>
      <c r="BP298" s="1" t="s">
        <v>115</v>
      </c>
      <c r="BQ298" s="1" t="s">
        <v>157</v>
      </c>
      <c r="BR298" s="1" t="s">
        <v>114</v>
      </c>
      <c r="BS298" s="1" t="s">
        <v>373</v>
      </c>
      <c r="BT298" s="1" t="s">
        <v>172</v>
      </c>
      <c r="BU298" s="1" t="s">
        <v>132</v>
      </c>
      <c r="BV298" s="1" t="s">
        <v>3746</v>
      </c>
      <c r="BW298" s="1" t="s">
        <v>298</v>
      </c>
      <c r="BX298" s="1" t="s">
        <v>325</v>
      </c>
      <c r="BY298" s="1" t="s">
        <v>299</v>
      </c>
      <c r="BZ298" s="1" t="s">
        <v>373</v>
      </c>
      <c r="CA298" s="1">
        <v>693</v>
      </c>
      <c r="CB298" s="1" t="s">
        <v>244</v>
      </c>
      <c r="CC298" s="1" t="s">
        <v>1488</v>
      </c>
      <c r="CD298" s="1" t="s">
        <v>3747</v>
      </c>
      <c r="CE298" s="1" t="s">
        <v>179</v>
      </c>
      <c r="CF298" s="1">
        <v>470415</v>
      </c>
      <c r="CG298" s="1">
        <v>666058</v>
      </c>
      <c r="CH298" s="1">
        <v>811</v>
      </c>
      <c r="CI298" s="1">
        <v>0</v>
      </c>
      <c r="CJ298" s="1">
        <v>0</v>
      </c>
      <c r="CK298" s="1">
        <v>499.8</v>
      </c>
      <c r="CL298" s="1">
        <v>274</v>
      </c>
      <c r="CM298" s="1">
        <v>0</v>
      </c>
      <c r="CN298" s="1">
        <v>0</v>
      </c>
      <c r="CO298" s="1">
        <v>0</v>
      </c>
      <c r="CP298" s="1">
        <v>0</v>
      </c>
      <c r="CQ298" s="1">
        <v>0</v>
      </c>
      <c r="CR298" s="1" t="s">
        <v>139</v>
      </c>
      <c r="CS298" s="1" t="s">
        <v>140</v>
      </c>
      <c r="CT298" s="1" t="s">
        <v>282</v>
      </c>
      <c r="CV298" s="1" t="s">
        <v>679</v>
      </c>
      <c r="CW298" s="1" t="s">
        <v>251</v>
      </c>
      <c r="CX298" s="1" t="s">
        <v>157</v>
      </c>
      <c r="CY298" s="1" t="s">
        <v>143</v>
      </c>
      <c r="CZ298" s="1" t="s">
        <v>144</v>
      </c>
      <c r="DA298" s="1" t="s">
        <v>145</v>
      </c>
    </row>
    <row r="299" spans="1:105" s="3" customFormat="1" ht="11.25" customHeight="1" x14ac:dyDescent="0.2">
      <c r="A299" s="1">
        <v>41</v>
      </c>
      <c r="B299" s="1" t="s">
        <v>3748</v>
      </c>
      <c r="C299" s="1" t="s">
        <v>3749</v>
      </c>
      <c r="D299" s="1">
        <v>18823</v>
      </c>
      <c r="E299" s="2" t="s">
        <v>1688</v>
      </c>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E299" s="1"/>
      <c r="CF299" s="6"/>
      <c r="CG299" s="6"/>
      <c r="CH299" s="1"/>
      <c r="CI299" s="1"/>
      <c r="CJ299" s="1"/>
      <c r="CK299" s="1"/>
      <c r="CL299" s="1"/>
      <c r="CM299" s="1"/>
      <c r="CN299" s="1"/>
      <c r="CO299" s="1"/>
      <c r="CP299" s="1"/>
      <c r="CQ299" s="1"/>
      <c r="CR299" s="1"/>
      <c r="CS299" s="1"/>
      <c r="CT299" s="1"/>
      <c r="CV299" s="1"/>
      <c r="CW299" s="1"/>
      <c r="CX299" s="1"/>
      <c r="CY299" s="1"/>
      <c r="CZ299" s="1"/>
      <c r="DA299" s="1"/>
    </row>
    <row r="300" spans="1:105" s="3" customFormat="1" ht="11.25" customHeight="1" x14ac:dyDescent="0.2">
      <c r="A300" s="1">
        <v>41</v>
      </c>
      <c r="B300" s="1" t="s">
        <v>3751</v>
      </c>
      <c r="C300" s="1" t="s">
        <v>3750</v>
      </c>
      <c r="D300" s="1">
        <v>5060</v>
      </c>
      <c r="E300" s="2" t="s">
        <v>4201</v>
      </c>
      <c r="F300" s="1" t="s">
        <v>113</v>
      </c>
      <c r="G300" s="1" t="s">
        <v>190</v>
      </c>
      <c r="H300" s="1" t="s">
        <v>1146</v>
      </c>
      <c r="I300" s="1" t="s">
        <v>229</v>
      </c>
      <c r="J300" s="1" t="s">
        <v>229</v>
      </c>
      <c r="K300" s="1" t="s">
        <v>504</v>
      </c>
      <c r="L300" s="1" t="s">
        <v>111</v>
      </c>
      <c r="M300" s="1" t="s">
        <v>230</v>
      </c>
      <c r="N300" s="1" t="s">
        <v>112</v>
      </c>
      <c r="O300" s="1" t="s">
        <v>106</v>
      </c>
      <c r="P300" s="1" t="s">
        <v>113</v>
      </c>
      <c r="Q300" s="1" t="s">
        <v>152</v>
      </c>
      <c r="R300" s="1" t="s">
        <v>127</v>
      </c>
      <c r="S300" s="1" t="s">
        <v>3752</v>
      </c>
      <c r="T300" s="1" t="s">
        <v>106</v>
      </c>
      <c r="U300" s="1" t="s">
        <v>3753</v>
      </c>
      <c r="V300" s="1" t="s">
        <v>3744</v>
      </c>
      <c r="W300" s="1" t="s">
        <v>199</v>
      </c>
      <c r="X300" s="1" t="s">
        <v>113</v>
      </c>
      <c r="Y300" s="1" t="s">
        <v>157</v>
      </c>
      <c r="Z300" s="1">
        <v>100</v>
      </c>
      <c r="AA300" s="1" t="s">
        <v>116</v>
      </c>
      <c r="AB300" s="1" t="s">
        <v>128</v>
      </c>
      <c r="AC300" s="1" t="s">
        <v>384</v>
      </c>
      <c r="AD300" s="1">
        <v>100</v>
      </c>
      <c r="AE300" s="1" t="s">
        <v>116</v>
      </c>
      <c r="AF300" s="1">
        <v>712</v>
      </c>
      <c r="AG300" s="1" t="s">
        <v>113</v>
      </c>
      <c r="AH300" s="1">
        <v>0</v>
      </c>
      <c r="AI300" s="1">
        <v>0</v>
      </c>
      <c r="AJ300" s="1">
        <v>0</v>
      </c>
      <c r="AK300" s="1" t="s">
        <v>119</v>
      </c>
      <c r="AL300" s="1">
        <v>0</v>
      </c>
      <c r="AM300" s="1" t="s">
        <v>3754</v>
      </c>
      <c r="AN300" s="1">
        <v>0</v>
      </c>
      <c r="AO300" s="1" t="s">
        <v>113</v>
      </c>
      <c r="AP300" s="1" t="s">
        <v>106</v>
      </c>
      <c r="AQ300" s="1" t="s">
        <v>3755</v>
      </c>
      <c r="AR300" s="1" t="s">
        <v>3756</v>
      </c>
      <c r="AS300" s="1" t="s">
        <v>3757</v>
      </c>
      <c r="AT300" s="1" t="s">
        <v>123</v>
      </c>
      <c r="AU300" s="1" t="s">
        <v>113</v>
      </c>
      <c r="AV300" s="1" t="s">
        <v>113</v>
      </c>
      <c r="AW300" s="1" t="s">
        <v>234</v>
      </c>
      <c r="AX300" s="1" t="s">
        <v>206</v>
      </c>
      <c r="AY300" s="1">
        <v>0</v>
      </c>
      <c r="AZ300" s="1" t="s">
        <v>113</v>
      </c>
      <c r="BA300" s="1" t="s">
        <v>113</v>
      </c>
      <c r="BB300" s="1" t="s">
        <v>125</v>
      </c>
      <c r="BC300" s="1" t="s">
        <v>166</v>
      </c>
      <c r="BD300" s="1">
        <v>0</v>
      </c>
      <c r="BE300" s="1">
        <v>100</v>
      </c>
      <c r="BF300" s="1" t="s">
        <v>167</v>
      </c>
      <c r="BG300" s="1" t="s">
        <v>116</v>
      </c>
      <c r="BH300" s="1" t="s">
        <v>168</v>
      </c>
      <c r="BI300" s="1" t="s">
        <v>169</v>
      </c>
      <c r="BJ300" s="1" t="s">
        <v>208</v>
      </c>
      <c r="BK300" s="1">
        <v>10</v>
      </c>
      <c r="BL300" s="1" t="s">
        <v>127</v>
      </c>
      <c r="BM300" s="1" t="s">
        <v>210</v>
      </c>
      <c r="BN300" s="1">
        <v>6</v>
      </c>
      <c r="BO300" s="1">
        <v>0</v>
      </c>
      <c r="BP300" s="1" t="s">
        <v>115</v>
      </c>
      <c r="BQ300" s="1" t="s">
        <v>1338</v>
      </c>
      <c r="BR300" s="1" t="s">
        <v>114</v>
      </c>
      <c r="BS300" s="1" t="s">
        <v>3758</v>
      </c>
      <c r="BT300" s="1" t="s">
        <v>172</v>
      </c>
      <c r="BU300" s="1" t="s">
        <v>132</v>
      </c>
      <c r="BV300" s="1" t="s">
        <v>3759</v>
      </c>
      <c r="BW300" s="1" t="s">
        <v>134</v>
      </c>
      <c r="BX300" s="1" t="s">
        <v>157</v>
      </c>
      <c r="BY300" s="1" t="s">
        <v>299</v>
      </c>
      <c r="BZ300" s="1" t="s">
        <v>3760</v>
      </c>
      <c r="CA300" s="1">
        <v>712</v>
      </c>
      <c r="CB300" s="1" t="s">
        <v>176</v>
      </c>
      <c r="CC300" s="1" t="s">
        <v>177</v>
      </c>
      <c r="CE300" s="1" t="s">
        <v>219</v>
      </c>
      <c r="CF300" s="6">
        <v>230960.22</v>
      </c>
      <c r="CG300" s="6">
        <v>222039.05</v>
      </c>
      <c r="CH300" s="1">
        <v>50</v>
      </c>
      <c r="CI300" s="1">
        <v>5</v>
      </c>
      <c r="CJ300" s="1">
        <v>342.28</v>
      </c>
      <c r="CK300" s="1">
        <v>50</v>
      </c>
      <c r="CL300" s="1">
        <v>50</v>
      </c>
      <c r="CM300" s="1">
        <v>100</v>
      </c>
      <c r="CN300" s="1">
        <v>0</v>
      </c>
      <c r="CO300" s="1">
        <v>100</v>
      </c>
      <c r="CP300" s="1">
        <v>30</v>
      </c>
      <c r="CQ300" s="1">
        <v>0</v>
      </c>
      <c r="CR300" s="1" t="s">
        <v>139</v>
      </c>
      <c r="CS300" s="1" t="s">
        <v>140</v>
      </c>
      <c r="CT300" s="1" t="s">
        <v>223</v>
      </c>
      <c r="CV300" s="1" t="s">
        <v>310</v>
      </c>
      <c r="CW300" s="1" t="s">
        <v>251</v>
      </c>
      <c r="CX300" s="1" t="s">
        <v>157</v>
      </c>
      <c r="CY300" s="1" t="s">
        <v>276</v>
      </c>
      <c r="CZ300" s="1" t="s">
        <v>144</v>
      </c>
      <c r="DA300" s="1" t="s">
        <v>145</v>
      </c>
    </row>
    <row r="301" spans="1:105" s="3" customFormat="1" ht="11.25" customHeight="1" x14ac:dyDescent="0.2">
      <c r="A301" s="1">
        <v>41</v>
      </c>
      <c r="B301" s="1" t="s">
        <v>3762</v>
      </c>
      <c r="C301" s="1" t="s">
        <v>3761</v>
      </c>
      <c r="D301" s="1">
        <v>4293</v>
      </c>
      <c r="E301" s="2" t="s">
        <v>4201</v>
      </c>
      <c r="F301" s="1" t="s">
        <v>113</v>
      </c>
      <c r="G301" s="1" t="s">
        <v>190</v>
      </c>
      <c r="H301" s="1" t="s">
        <v>3763</v>
      </c>
      <c r="I301" s="1" t="s">
        <v>229</v>
      </c>
      <c r="J301" s="1" t="s">
        <v>229</v>
      </c>
      <c r="K301" s="1" t="s">
        <v>3763</v>
      </c>
      <c r="L301" s="1" t="s">
        <v>111</v>
      </c>
      <c r="M301" s="1" t="s">
        <v>736</v>
      </c>
      <c r="N301" s="1" t="s">
        <v>112</v>
      </c>
      <c r="O301" s="1" t="s">
        <v>113</v>
      </c>
      <c r="P301" s="1" t="s">
        <v>113</v>
      </c>
      <c r="Q301" s="1" t="s">
        <v>195</v>
      </c>
      <c r="R301" s="1" t="s">
        <v>3764</v>
      </c>
      <c r="S301" s="1" t="s">
        <v>3765</v>
      </c>
      <c r="T301" s="1" t="s">
        <v>106</v>
      </c>
      <c r="U301" s="1" t="s">
        <v>3766</v>
      </c>
      <c r="V301" s="1" t="s">
        <v>3767</v>
      </c>
      <c r="W301" s="1" t="s">
        <v>115</v>
      </c>
      <c r="X301" s="1" t="s">
        <v>113</v>
      </c>
      <c r="Y301" s="1" t="s">
        <v>409</v>
      </c>
      <c r="Z301" s="1">
        <v>100</v>
      </c>
      <c r="AA301" s="1" t="s">
        <v>116</v>
      </c>
      <c r="AB301" s="1" t="s">
        <v>128</v>
      </c>
      <c r="AC301" s="1" t="s">
        <v>118</v>
      </c>
      <c r="AD301" s="1">
        <v>50</v>
      </c>
      <c r="AE301" s="1" t="s">
        <v>116</v>
      </c>
      <c r="AF301" s="1">
        <v>35000</v>
      </c>
      <c r="AG301" s="1" t="s">
        <v>113</v>
      </c>
      <c r="AH301" s="1">
        <v>0</v>
      </c>
      <c r="AI301" s="1">
        <v>0</v>
      </c>
      <c r="AJ301" s="1">
        <v>0</v>
      </c>
      <c r="AK301" s="1" t="s">
        <v>408</v>
      </c>
      <c r="AL301" s="1">
        <v>0</v>
      </c>
      <c r="AM301" s="1" t="s">
        <v>172</v>
      </c>
      <c r="AN301" s="1">
        <v>0</v>
      </c>
      <c r="AO301" s="1" t="s">
        <v>113</v>
      </c>
      <c r="AP301" s="1" t="s">
        <v>106</v>
      </c>
      <c r="AQ301" s="1" t="s">
        <v>3768</v>
      </c>
      <c r="AR301" s="1" t="s">
        <v>3769</v>
      </c>
      <c r="AS301" s="1" t="s">
        <v>3770</v>
      </c>
      <c r="AT301" s="1" t="s">
        <v>123</v>
      </c>
      <c r="AU301" s="1" t="s">
        <v>113</v>
      </c>
      <c r="AV301" s="1" t="s">
        <v>113</v>
      </c>
      <c r="AW301" s="1" t="s">
        <v>164</v>
      </c>
      <c r="AX301" s="1" t="s">
        <v>165</v>
      </c>
      <c r="AY301" s="1">
        <v>0</v>
      </c>
      <c r="AZ301" s="1" t="s">
        <v>113</v>
      </c>
      <c r="BA301" s="1" t="s">
        <v>113</v>
      </c>
      <c r="BB301" s="1" t="s">
        <v>125</v>
      </c>
      <c r="BC301" s="1" t="s">
        <v>166</v>
      </c>
      <c r="BD301" s="1">
        <v>0</v>
      </c>
      <c r="BE301" s="1">
        <v>100</v>
      </c>
      <c r="BF301" s="1" t="s">
        <v>167</v>
      </c>
      <c r="BG301" s="1" t="s">
        <v>268</v>
      </c>
      <c r="BH301" s="1" t="s">
        <v>269</v>
      </c>
      <c r="BI301" s="1" t="s">
        <v>269</v>
      </c>
      <c r="BJ301" s="1" t="s">
        <v>384</v>
      </c>
      <c r="BK301" s="1">
        <v>100</v>
      </c>
      <c r="BL301" s="1" t="s">
        <v>270</v>
      </c>
      <c r="BM301" s="1" t="s">
        <v>271</v>
      </c>
      <c r="BN301" s="1">
        <v>10</v>
      </c>
      <c r="BO301" s="1">
        <v>0</v>
      </c>
      <c r="BP301" s="1" t="s">
        <v>115</v>
      </c>
      <c r="BQ301" s="1" t="s">
        <v>3771</v>
      </c>
      <c r="BR301" s="1" t="s">
        <v>3772</v>
      </c>
      <c r="BS301" s="1" t="s">
        <v>816</v>
      </c>
      <c r="BT301" s="1" t="s">
        <v>131</v>
      </c>
      <c r="BU301" s="1" t="s">
        <v>132</v>
      </c>
      <c r="BV301" s="1" t="s">
        <v>174</v>
      </c>
      <c r="BW301" s="1" t="s">
        <v>134</v>
      </c>
      <c r="BX301" s="1" t="s">
        <v>3773</v>
      </c>
      <c r="BY301" s="1" t="s">
        <v>299</v>
      </c>
      <c r="BZ301" s="1" t="s">
        <v>745</v>
      </c>
      <c r="CA301" s="1">
        <v>0</v>
      </c>
      <c r="CB301" s="1" t="s">
        <v>137</v>
      </c>
      <c r="CC301" s="1" t="s">
        <v>138</v>
      </c>
      <c r="CF301" s="1">
        <v>0</v>
      </c>
      <c r="CG301" s="1">
        <v>180000</v>
      </c>
      <c r="CH301" s="1">
        <v>0</v>
      </c>
      <c r="CI301" s="1">
        <v>1000000</v>
      </c>
      <c r="CJ301" s="1">
        <v>0</v>
      </c>
      <c r="CK301" s="1">
        <v>0</v>
      </c>
      <c r="CL301" s="1">
        <v>180000</v>
      </c>
      <c r="CM301" s="1">
        <v>0</v>
      </c>
      <c r="CN301" s="1">
        <v>0</v>
      </c>
      <c r="CO301" s="1">
        <v>0</v>
      </c>
      <c r="CP301" s="1">
        <v>0</v>
      </c>
      <c r="CQ301" s="1">
        <v>0</v>
      </c>
      <c r="CR301" s="1" t="s">
        <v>139</v>
      </c>
      <c r="CS301" s="1" t="s">
        <v>327</v>
      </c>
      <c r="CT301" s="1" t="s">
        <v>282</v>
      </c>
      <c r="CV301" s="1" t="s">
        <v>439</v>
      </c>
      <c r="CW301" s="1" t="s">
        <v>251</v>
      </c>
      <c r="CX301" s="1" t="s">
        <v>2323</v>
      </c>
      <c r="CY301" s="1" t="s">
        <v>2323</v>
      </c>
      <c r="CZ301" s="1" t="s">
        <v>144</v>
      </c>
      <c r="DA301" s="1" t="s">
        <v>145</v>
      </c>
    </row>
    <row r="302" spans="1:105" s="3" customFormat="1" ht="11.25" customHeight="1" x14ac:dyDescent="0.2">
      <c r="A302" s="1">
        <v>41</v>
      </c>
      <c r="B302" s="1" t="s">
        <v>3775</v>
      </c>
      <c r="C302" s="1" t="s">
        <v>3774</v>
      </c>
      <c r="D302" s="1">
        <v>2638</v>
      </c>
      <c r="E302" s="2" t="s">
        <v>4201</v>
      </c>
      <c r="F302" s="1" t="s">
        <v>113</v>
      </c>
      <c r="G302" s="1" t="s">
        <v>190</v>
      </c>
      <c r="H302" s="1" t="s">
        <v>190</v>
      </c>
      <c r="I302" s="1" t="s">
        <v>229</v>
      </c>
      <c r="J302" s="1" t="s">
        <v>229</v>
      </c>
      <c r="K302" s="1"/>
      <c r="L302" s="1" t="s">
        <v>111</v>
      </c>
      <c r="M302" s="1" t="s">
        <v>257</v>
      </c>
      <c r="N302" s="1" t="s">
        <v>112</v>
      </c>
      <c r="O302" s="1" t="s">
        <v>113</v>
      </c>
      <c r="P302" s="1" t="s">
        <v>113</v>
      </c>
      <c r="Q302" s="1" t="s">
        <v>195</v>
      </c>
      <c r="R302" s="1" t="s">
        <v>3776</v>
      </c>
      <c r="S302" s="1" t="s">
        <v>114</v>
      </c>
      <c r="T302" s="1" t="s">
        <v>113</v>
      </c>
      <c r="U302" s="1" t="s">
        <v>114</v>
      </c>
      <c r="V302" s="1"/>
      <c r="W302" s="1" t="s">
        <v>115</v>
      </c>
      <c r="X302" s="1" t="s">
        <v>113</v>
      </c>
      <c r="Y302" s="1"/>
      <c r="Z302" s="1">
        <v>100</v>
      </c>
      <c r="AA302" s="1" t="s">
        <v>116</v>
      </c>
      <c r="AB302" s="1" t="s">
        <v>128</v>
      </c>
      <c r="AC302" s="1" t="s">
        <v>128</v>
      </c>
      <c r="AD302" s="1">
        <v>0</v>
      </c>
      <c r="AE302" s="1" t="s">
        <v>114</v>
      </c>
      <c r="AF302" s="1">
        <v>1095</v>
      </c>
      <c r="AG302" s="1" t="s">
        <v>113</v>
      </c>
      <c r="AH302" s="1">
        <v>0</v>
      </c>
      <c r="AI302" s="1">
        <v>0</v>
      </c>
      <c r="AJ302" s="1">
        <v>0</v>
      </c>
      <c r="AK302" s="1" t="s">
        <v>232</v>
      </c>
      <c r="AL302" s="1">
        <v>150</v>
      </c>
      <c r="AM302" s="1" t="s">
        <v>120</v>
      </c>
      <c r="AN302" s="1">
        <v>150</v>
      </c>
      <c r="AO302" s="1" t="s">
        <v>113</v>
      </c>
      <c r="AP302" s="1" t="s">
        <v>113</v>
      </c>
      <c r="AQ302" s="1" t="s">
        <v>3777</v>
      </c>
      <c r="AR302" s="1" t="s">
        <v>3777</v>
      </c>
      <c r="AS302" s="1" t="s">
        <v>3777</v>
      </c>
      <c r="AT302" s="1" t="s">
        <v>123</v>
      </c>
      <c r="AU302" s="1" t="s">
        <v>113</v>
      </c>
      <c r="AV302" s="1" t="s">
        <v>113</v>
      </c>
      <c r="AW302" s="1" t="s">
        <v>164</v>
      </c>
      <c r="AX302" s="1" t="s">
        <v>165</v>
      </c>
      <c r="AY302" s="1">
        <v>0</v>
      </c>
      <c r="AZ302" s="1" t="s">
        <v>113</v>
      </c>
      <c r="BA302" s="1" t="s">
        <v>113</v>
      </c>
      <c r="BB302" s="1" t="s">
        <v>125</v>
      </c>
      <c r="BC302" s="1" t="s">
        <v>166</v>
      </c>
      <c r="BD302" s="1">
        <v>0</v>
      </c>
      <c r="BE302" s="1">
        <v>100</v>
      </c>
      <c r="BF302" s="1" t="s">
        <v>167</v>
      </c>
      <c r="BG302" s="1" t="s">
        <v>127</v>
      </c>
      <c r="BH302" s="1" t="s">
        <v>168</v>
      </c>
      <c r="BI302" s="1" t="s">
        <v>207</v>
      </c>
      <c r="BJ302" s="1" t="s">
        <v>128</v>
      </c>
      <c r="BK302" s="1">
        <v>0</v>
      </c>
      <c r="BL302" s="1" t="s">
        <v>127</v>
      </c>
      <c r="BM302" s="1" t="s">
        <v>114</v>
      </c>
      <c r="BN302" s="1">
        <v>2</v>
      </c>
      <c r="BO302" s="1">
        <v>2</v>
      </c>
      <c r="BP302" s="1" t="s">
        <v>124</v>
      </c>
      <c r="BQ302" s="1" t="s">
        <v>3778</v>
      </c>
      <c r="BR302" s="1" t="s">
        <v>3779</v>
      </c>
      <c r="BS302" s="1" t="s">
        <v>3780</v>
      </c>
      <c r="BT302" s="1" t="s">
        <v>172</v>
      </c>
      <c r="BU302" s="1" t="s">
        <v>239</v>
      </c>
      <c r="BV302" s="1" t="s">
        <v>2256</v>
      </c>
      <c r="BW302" s="1" t="s">
        <v>298</v>
      </c>
      <c r="BX302" s="1" t="s">
        <v>325</v>
      </c>
      <c r="BY302" s="1" t="s">
        <v>241</v>
      </c>
      <c r="BZ302" s="1" t="s">
        <v>3781</v>
      </c>
      <c r="CA302" s="1">
        <v>1070</v>
      </c>
      <c r="CB302" s="1" t="s">
        <v>244</v>
      </c>
      <c r="CC302" s="1" t="s">
        <v>217</v>
      </c>
      <c r="CD302" s="1" t="s">
        <v>3782</v>
      </c>
      <c r="CE302" s="1" t="s">
        <v>219</v>
      </c>
      <c r="CF302" s="1">
        <v>17352</v>
      </c>
      <c r="CG302" s="1">
        <v>145563</v>
      </c>
      <c r="CH302" s="1">
        <v>145563</v>
      </c>
      <c r="CI302" s="1">
        <v>0</v>
      </c>
      <c r="CJ302" s="1">
        <v>0</v>
      </c>
      <c r="CK302" s="1">
        <v>145563</v>
      </c>
      <c r="CL302" s="1">
        <v>40566</v>
      </c>
      <c r="CM302" s="1">
        <v>0</v>
      </c>
      <c r="CN302" s="1">
        <v>164465</v>
      </c>
      <c r="CO302" s="1">
        <v>0</v>
      </c>
      <c r="CP302" s="1">
        <v>164465</v>
      </c>
      <c r="CQ302" s="1">
        <v>0</v>
      </c>
      <c r="CR302" s="1" t="s">
        <v>139</v>
      </c>
      <c r="CS302" s="1" t="s">
        <v>308</v>
      </c>
      <c r="CT302" s="1" t="s">
        <v>282</v>
      </c>
      <c r="CU302" s="1"/>
      <c r="CV302" s="1" t="s">
        <v>1995</v>
      </c>
      <c r="CW302" s="1" t="s">
        <v>251</v>
      </c>
      <c r="CX302" s="1" t="s">
        <v>114</v>
      </c>
      <c r="CY302" s="1" t="s">
        <v>143</v>
      </c>
      <c r="CZ302" s="1"/>
      <c r="DA302" s="1"/>
    </row>
    <row r="303" spans="1:105" s="3" customFormat="1" ht="11.25" customHeight="1" x14ac:dyDescent="0.2">
      <c r="A303" s="1">
        <v>41</v>
      </c>
      <c r="B303" s="1" t="s">
        <v>3784</v>
      </c>
      <c r="C303" s="1" t="s">
        <v>3783</v>
      </c>
      <c r="D303" s="1">
        <v>19903</v>
      </c>
      <c r="E303" s="2" t="s">
        <v>4201</v>
      </c>
      <c r="F303" s="1" t="s">
        <v>113</v>
      </c>
      <c r="G303" s="1" t="s">
        <v>190</v>
      </c>
      <c r="H303" s="1" t="s">
        <v>705</v>
      </c>
      <c r="I303" s="1" t="s">
        <v>193</v>
      </c>
      <c r="J303" s="1" t="s">
        <v>229</v>
      </c>
      <c r="K303" s="1" t="s">
        <v>705</v>
      </c>
      <c r="L303" s="1" t="s">
        <v>111</v>
      </c>
      <c r="M303" s="1" t="s">
        <v>705</v>
      </c>
      <c r="N303" s="1" t="s">
        <v>112</v>
      </c>
      <c r="O303" s="1" t="s">
        <v>113</v>
      </c>
      <c r="P303" s="1" t="s">
        <v>113</v>
      </c>
      <c r="Q303" s="1" t="s">
        <v>195</v>
      </c>
      <c r="R303" s="1" t="s">
        <v>3785</v>
      </c>
      <c r="S303" s="1" t="s">
        <v>3786</v>
      </c>
      <c r="T303" s="1" t="s">
        <v>106</v>
      </c>
      <c r="U303" s="1" t="s">
        <v>3787</v>
      </c>
      <c r="V303" s="1" t="s">
        <v>3788</v>
      </c>
      <c r="W303" s="1" t="s">
        <v>115</v>
      </c>
      <c r="X303" s="1" t="s">
        <v>113</v>
      </c>
      <c r="Y303" s="1" t="s">
        <v>157</v>
      </c>
      <c r="Z303" s="1">
        <v>100</v>
      </c>
      <c r="AA303" s="1" t="s">
        <v>116</v>
      </c>
      <c r="AB303" s="1" t="s">
        <v>128</v>
      </c>
      <c r="AC303" s="1" t="s">
        <v>118</v>
      </c>
      <c r="AD303" s="1">
        <v>70</v>
      </c>
      <c r="AE303" s="1" t="s">
        <v>116</v>
      </c>
      <c r="AF303" s="1">
        <v>1000</v>
      </c>
      <c r="AG303" s="1" t="s">
        <v>106</v>
      </c>
      <c r="AH303" s="1">
        <v>30</v>
      </c>
      <c r="AI303" s="1">
        <v>25</v>
      </c>
      <c r="AJ303" s="1">
        <v>45</v>
      </c>
      <c r="AK303" s="1" t="s">
        <v>796</v>
      </c>
      <c r="AL303" s="1">
        <v>4000</v>
      </c>
      <c r="AM303" s="1" t="s">
        <v>3789</v>
      </c>
      <c r="AN303" s="1">
        <v>0</v>
      </c>
      <c r="AO303" s="1" t="s">
        <v>113</v>
      </c>
      <c r="AP303" s="1" t="s">
        <v>113</v>
      </c>
      <c r="AQ303" s="1" t="s">
        <v>1021</v>
      </c>
      <c r="AR303" s="1" t="s">
        <v>157</v>
      </c>
      <c r="AS303" s="1" t="s">
        <v>1021</v>
      </c>
      <c r="AT303" s="1" t="s">
        <v>759</v>
      </c>
      <c r="AU303" s="1" t="s">
        <v>106</v>
      </c>
      <c r="AV303" s="1" t="s">
        <v>113</v>
      </c>
      <c r="AW303" s="1" t="s">
        <v>234</v>
      </c>
      <c r="AX303" s="1" t="s">
        <v>1821</v>
      </c>
      <c r="AY303" s="1">
        <v>1500</v>
      </c>
      <c r="AZ303" s="1" t="s">
        <v>106</v>
      </c>
      <c r="BA303" s="1" t="s">
        <v>113</v>
      </c>
      <c r="BB303" s="1" t="s">
        <v>761</v>
      </c>
      <c r="BC303" s="1" t="s">
        <v>2701</v>
      </c>
      <c r="BD303" s="1">
        <v>1420</v>
      </c>
      <c r="BE303" s="1">
        <v>100</v>
      </c>
      <c r="BF303" s="1" t="s">
        <v>630</v>
      </c>
      <c r="BG303" s="1" t="s">
        <v>268</v>
      </c>
      <c r="BH303" s="1" t="s">
        <v>269</v>
      </c>
      <c r="BI303" s="1" t="s">
        <v>269</v>
      </c>
      <c r="BJ303" s="1" t="s">
        <v>208</v>
      </c>
      <c r="BK303" s="1">
        <v>70</v>
      </c>
      <c r="BL303" s="1" t="s">
        <v>294</v>
      </c>
      <c r="BM303" s="1" t="s">
        <v>271</v>
      </c>
      <c r="BN303" s="1">
        <v>30</v>
      </c>
      <c r="BO303" s="1">
        <v>9</v>
      </c>
      <c r="BP303" s="1" t="s">
        <v>124</v>
      </c>
      <c r="BQ303" s="1" t="s">
        <v>3790</v>
      </c>
      <c r="BR303" s="1" t="s">
        <v>3791</v>
      </c>
      <c r="BS303" s="1" t="s">
        <v>3792</v>
      </c>
      <c r="BT303" s="1" t="s">
        <v>172</v>
      </c>
      <c r="BU303" s="1" t="s">
        <v>239</v>
      </c>
      <c r="BV303" s="1" t="s">
        <v>3391</v>
      </c>
      <c r="BW303" s="1" t="s">
        <v>134</v>
      </c>
      <c r="BX303" s="1" t="s">
        <v>3793</v>
      </c>
      <c r="BY303" s="1" t="s">
        <v>135</v>
      </c>
      <c r="BZ303" s="1" t="s">
        <v>3794</v>
      </c>
      <c r="CA303" s="1">
        <v>1000</v>
      </c>
      <c r="CB303" s="1" t="s">
        <v>176</v>
      </c>
      <c r="CC303" s="1" t="s">
        <v>301</v>
      </c>
      <c r="CD303" s="1" t="s">
        <v>3795</v>
      </c>
      <c r="CE303" s="1" t="s">
        <v>179</v>
      </c>
      <c r="CF303" s="1">
        <v>679919</v>
      </c>
      <c r="CG303" s="1">
        <v>1745838</v>
      </c>
      <c r="CH303" s="1" t="s">
        <v>3796</v>
      </c>
      <c r="CI303" s="1">
        <v>0</v>
      </c>
      <c r="CJ303" s="1">
        <v>0</v>
      </c>
      <c r="CK303" s="1" t="s">
        <v>3797</v>
      </c>
      <c r="CL303" s="1" t="s">
        <v>3797</v>
      </c>
      <c r="CM303" s="1" t="s">
        <v>3796</v>
      </c>
      <c r="CN303" s="1" t="s">
        <v>3796</v>
      </c>
      <c r="CO303" s="1" t="s">
        <v>3796</v>
      </c>
      <c r="CP303" s="1" t="s">
        <v>3796</v>
      </c>
      <c r="CQ303" s="1" t="s">
        <v>3796</v>
      </c>
      <c r="CR303" s="1" t="s">
        <v>418</v>
      </c>
      <c r="CS303" s="1" t="s">
        <v>222</v>
      </c>
      <c r="CT303" s="1" t="s">
        <v>3798</v>
      </c>
      <c r="CU303" s="1" t="s">
        <v>249</v>
      </c>
      <c r="CV303" s="1" t="s">
        <v>3799</v>
      </c>
      <c r="CW303" s="1" t="s">
        <v>141</v>
      </c>
      <c r="CX303" s="1" t="s">
        <v>3800</v>
      </c>
      <c r="CY303" s="1" t="s">
        <v>276</v>
      </c>
      <c r="CZ303" s="1" t="s">
        <v>144</v>
      </c>
      <c r="DA303" s="1" t="s">
        <v>145</v>
      </c>
    </row>
    <row r="304" spans="1:105" s="3" customFormat="1" ht="11.25" customHeight="1" x14ac:dyDescent="0.2">
      <c r="A304" s="1">
        <v>41</v>
      </c>
      <c r="B304" s="1" t="s">
        <v>3802</v>
      </c>
      <c r="C304" s="1" t="s">
        <v>3801</v>
      </c>
      <c r="D304" s="1">
        <v>14754</v>
      </c>
      <c r="E304" s="2" t="s">
        <v>4201</v>
      </c>
      <c r="F304" s="1" t="s">
        <v>113</v>
      </c>
      <c r="G304" s="1" t="s">
        <v>190</v>
      </c>
      <c r="H304" s="1" t="s">
        <v>2129</v>
      </c>
      <c r="I304" s="1" t="s">
        <v>193</v>
      </c>
      <c r="J304" s="1" t="s">
        <v>229</v>
      </c>
      <c r="L304" s="1" t="s">
        <v>111</v>
      </c>
      <c r="M304" s="1" t="s">
        <v>111</v>
      </c>
      <c r="N304" s="1" t="s">
        <v>112</v>
      </c>
      <c r="O304" s="1" t="s">
        <v>106</v>
      </c>
      <c r="P304" s="1" t="s">
        <v>113</v>
      </c>
      <c r="Q304" s="1" t="s">
        <v>258</v>
      </c>
      <c r="R304" s="1" t="s">
        <v>114</v>
      </c>
      <c r="S304" s="1" t="s">
        <v>114</v>
      </c>
      <c r="T304" s="1" t="s">
        <v>113</v>
      </c>
      <c r="U304" s="1" t="s">
        <v>114</v>
      </c>
      <c r="V304" s="1" t="s">
        <v>1160</v>
      </c>
      <c r="W304" s="1" t="s">
        <v>115</v>
      </c>
      <c r="X304" s="1" t="s">
        <v>113</v>
      </c>
      <c r="Y304" s="1" t="s">
        <v>114</v>
      </c>
      <c r="Z304" s="1">
        <v>100</v>
      </c>
      <c r="AA304" s="1" t="s">
        <v>116</v>
      </c>
      <c r="AB304" s="1" t="s">
        <v>128</v>
      </c>
      <c r="AC304" s="1" t="s">
        <v>118</v>
      </c>
      <c r="AD304" s="1">
        <v>5</v>
      </c>
      <c r="AE304" s="1" t="s">
        <v>116</v>
      </c>
      <c r="AF304" s="1">
        <v>1683</v>
      </c>
      <c r="AG304" s="1" t="s">
        <v>106</v>
      </c>
      <c r="AH304" s="1">
        <v>45</v>
      </c>
      <c r="AI304" s="1">
        <v>29</v>
      </c>
      <c r="AJ304" s="1">
        <v>26</v>
      </c>
      <c r="AK304" s="1" t="s">
        <v>1002</v>
      </c>
      <c r="AL304" s="1">
        <v>0</v>
      </c>
      <c r="AM304" s="1" t="s">
        <v>363</v>
      </c>
      <c r="AN304" s="1">
        <v>0</v>
      </c>
      <c r="AO304" s="1" t="s">
        <v>113</v>
      </c>
      <c r="AP304" s="1" t="s">
        <v>106</v>
      </c>
      <c r="AQ304" s="1" t="s">
        <v>114</v>
      </c>
      <c r="AR304" s="1" t="s">
        <v>3309</v>
      </c>
      <c r="AS304" s="1" t="s">
        <v>3803</v>
      </c>
      <c r="AT304" s="1" t="s">
        <v>123</v>
      </c>
      <c r="AU304" s="1" t="s">
        <v>113</v>
      </c>
      <c r="AV304" s="1" t="s">
        <v>113</v>
      </c>
      <c r="AW304" s="1" t="s">
        <v>164</v>
      </c>
      <c r="AX304" s="1" t="s">
        <v>165</v>
      </c>
      <c r="AY304" s="1">
        <v>0</v>
      </c>
      <c r="AZ304" s="1" t="s">
        <v>113</v>
      </c>
      <c r="BA304" s="1" t="s">
        <v>113</v>
      </c>
      <c r="BB304" s="1" t="s">
        <v>125</v>
      </c>
      <c r="BC304" s="1" t="s">
        <v>166</v>
      </c>
      <c r="BD304" s="1">
        <v>0</v>
      </c>
      <c r="BE304" s="1">
        <v>50</v>
      </c>
      <c r="BF304" s="1" t="s">
        <v>1206</v>
      </c>
      <c r="BG304" s="1" t="s">
        <v>383</v>
      </c>
      <c r="BH304" s="1" t="s">
        <v>207</v>
      </c>
      <c r="BI304" s="1" t="s">
        <v>207</v>
      </c>
      <c r="BJ304" s="1" t="s">
        <v>384</v>
      </c>
      <c r="BK304" s="1">
        <v>100</v>
      </c>
      <c r="BL304" s="1" t="s">
        <v>270</v>
      </c>
      <c r="BM304" s="1" t="s">
        <v>210</v>
      </c>
      <c r="BN304" s="1" t="s">
        <v>143</v>
      </c>
      <c r="BO304" s="1" t="s">
        <v>143</v>
      </c>
      <c r="BP304" s="1" t="s">
        <v>115</v>
      </c>
      <c r="BQ304" s="1" t="s">
        <v>3804</v>
      </c>
      <c r="BR304" s="1" t="s">
        <v>114</v>
      </c>
      <c r="BS304" s="1" t="s">
        <v>114</v>
      </c>
      <c r="BT304" s="1" t="s">
        <v>172</v>
      </c>
      <c r="BU304" s="1" t="s">
        <v>132</v>
      </c>
      <c r="BV304" s="1" t="s">
        <v>3805</v>
      </c>
      <c r="BW304" s="1" t="s">
        <v>134</v>
      </c>
      <c r="BX304" s="1" t="s">
        <v>137</v>
      </c>
      <c r="BY304" s="1" t="s">
        <v>135</v>
      </c>
      <c r="BZ304" s="1" t="s">
        <v>157</v>
      </c>
      <c r="CA304" s="1">
        <v>1683</v>
      </c>
      <c r="CB304" s="1" t="s">
        <v>176</v>
      </c>
      <c r="CC304" s="1" t="s">
        <v>301</v>
      </c>
      <c r="CD304" s="1" t="s">
        <v>3806</v>
      </c>
      <c r="CE304" s="1" t="s">
        <v>179</v>
      </c>
      <c r="CF304" s="1">
        <v>614187.12</v>
      </c>
      <c r="CG304" s="8">
        <v>1143841.8500000001</v>
      </c>
      <c r="CH304" s="1">
        <v>700202.84</v>
      </c>
      <c r="CI304" s="1">
        <v>0</v>
      </c>
      <c r="CJ304" s="1">
        <v>443639.01</v>
      </c>
      <c r="CK304" s="1">
        <v>0</v>
      </c>
      <c r="CL304" s="1">
        <v>0</v>
      </c>
      <c r="CM304" s="1">
        <v>0</v>
      </c>
      <c r="CN304" s="1">
        <v>0</v>
      </c>
      <c r="CO304" s="1">
        <v>0</v>
      </c>
      <c r="CP304" s="1">
        <v>0</v>
      </c>
      <c r="CQ304" s="1">
        <v>0</v>
      </c>
      <c r="CR304" s="1" t="s">
        <v>139</v>
      </c>
      <c r="CS304" s="1" t="s">
        <v>140</v>
      </c>
      <c r="CT304" s="1" t="s">
        <v>3807</v>
      </c>
      <c r="CV304" s="1" t="s">
        <v>3808</v>
      </c>
      <c r="CW304" s="1" t="s">
        <v>141</v>
      </c>
      <c r="CX304" s="1" t="s">
        <v>3809</v>
      </c>
      <c r="CY304" s="1" t="s">
        <v>143</v>
      </c>
      <c r="CZ304" s="1" t="s">
        <v>144</v>
      </c>
      <c r="DA304" s="1" t="s">
        <v>145</v>
      </c>
    </row>
    <row r="305" spans="1:105" s="3" customFormat="1" ht="11.25" customHeight="1" x14ac:dyDescent="0.2">
      <c r="A305" s="1">
        <v>41</v>
      </c>
      <c r="B305" s="1" t="s">
        <v>3811</v>
      </c>
      <c r="C305" s="1" t="s">
        <v>3810</v>
      </c>
      <c r="D305" s="1">
        <v>6946</v>
      </c>
      <c r="E305" s="2" t="s">
        <v>4201</v>
      </c>
      <c r="F305" s="1" t="s">
        <v>106</v>
      </c>
      <c r="H305" s="1" t="s">
        <v>3812</v>
      </c>
      <c r="I305" s="1" t="s">
        <v>3813</v>
      </c>
      <c r="J305" s="1" t="s">
        <v>113</v>
      </c>
      <c r="K305" s="1" t="s">
        <v>3814</v>
      </c>
      <c r="L305" s="1" t="s">
        <v>111</v>
      </c>
      <c r="M305" s="1" t="s">
        <v>257</v>
      </c>
      <c r="N305" s="1" t="s">
        <v>112</v>
      </c>
      <c r="O305" s="1" t="s">
        <v>106</v>
      </c>
      <c r="P305" s="1" t="s">
        <v>106</v>
      </c>
      <c r="Q305" s="1" t="s">
        <v>111</v>
      </c>
      <c r="R305" s="1" t="s">
        <v>3815</v>
      </c>
      <c r="S305" s="1" t="s">
        <v>114</v>
      </c>
      <c r="T305" s="1" t="s">
        <v>106</v>
      </c>
      <c r="U305" s="1" t="s">
        <v>3816</v>
      </c>
      <c r="V305" s="1" t="s">
        <v>3817</v>
      </c>
      <c r="W305" s="1" t="s">
        <v>115</v>
      </c>
      <c r="X305" s="1" t="s">
        <v>113</v>
      </c>
      <c r="Y305" s="1" t="s">
        <v>114</v>
      </c>
      <c r="Z305" s="1">
        <v>100</v>
      </c>
      <c r="AA305" s="1" t="s">
        <v>132</v>
      </c>
      <c r="AB305" s="1" t="s">
        <v>117</v>
      </c>
      <c r="AC305" s="1" t="s">
        <v>128</v>
      </c>
      <c r="AD305" s="1">
        <v>0</v>
      </c>
      <c r="AE305" s="1" t="s">
        <v>116</v>
      </c>
      <c r="AF305" s="1">
        <v>2085</v>
      </c>
      <c r="AG305" s="1" t="s">
        <v>113</v>
      </c>
      <c r="AH305" s="1">
        <v>80</v>
      </c>
      <c r="AI305" s="1">
        <v>20</v>
      </c>
      <c r="AJ305" s="1">
        <v>0</v>
      </c>
      <c r="AK305" s="1" t="s">
        <v>232</v>
      </c>
      <c r="AL305" s="1">
        <v>0</v>
      </c>
      <c r="AM305" s="1" t="s">
        <v>3818</v>
      </c>
      <c r="AN305" s="1">
        <v>0</v>
      </c>
      <c r="AO305" s="1" t="s">
        <v>113</v>
      </c>
      <c r="AP305" s="1" t="s">
        <v>106</v>
      </c>
      <c r="AQ305" s="1" t="s">
        <v>3819</v>
      </c>
      <c r="AR305" s="1" t="s">
        <v>3820</v>
      </c>
      <c r="AS305" s="1" t="s">
        <v>3821</v>
      </c>
      <c r="AT305" s="1" t="s">
        <v>123</v>
      </c>
      <c r="AU305" s="1" t="s">
        <v>106</v>
      </c>
      <c r="AV305" s="1" t="s">
        <v>113</v>
      </c>
      <c r="AW305" s="1" t="s">
        <v>164</v>
      </c>
      <c r="AX305" s="1" t="s">
        <v>206</v>
      </c>
      <c r="AY305" s="1">
        <v>0</v>
      </c>
      <c r="AZ305" s="1" t="s">
        <v>113</v>
      </c>
      <c r="BA305" s="1" t="s">
        <v>113</v>
      </c>
      <c r="BB305" s="1" t="s">
        <v>125</v>
      </c>
      <c r="BC305" s="1" t="s">
        <v>166</v>
      </c>
      <c r="BD305" s="1">
        <v>0</v>
      </c>
      <c r="BE305" s="1">
        <v>100</v>
      </c>
      <c r="BF305" s="1" t="s">
        <v>167</v>
      </c>
      <c r="BG305" s="1" t="s">
        <v>132</v>
      </c>
      <c r="BH305" s="1" t="s">
        <v>168</v>
      </c>
      <c r="BI305" s="1" t="s">
        <v>168</v>
      </c>
      <c r="BJ305" s="1" t="s">
        <v>208</v>
      </c>
      <c r="BK305" s="1">
        <v>70</v>
      </c>
      <c r="BL305" s="1" t="s">
        <v>270</v>
      </c>
      <c r="BM305" s="1" t="s">
        <v>210</v>
      </c>
      <c r="BN305" s="1" t="s">
        <v>143</v>
      </c>
      <c r="BO305" s="1" t="s">
        <v>143</v>
      </c>
      <c r="BP305" s="1" t="s">
        <v>115</v>
      </c>
      <c r="BQ305" s="1" t="s">
        <v>3822</v>
      </c>
      <c r="BR305" s="1" t="s">
        <v>3823</v>
      </c>
      <c r="BS305" s="1" t="s">
        <v>3824</v>
      </c>
      <c r="BT305" s="1" t="s">
        <v>172</v>
      </c>
      <c r="BU305" s="1" t="s">
        <v>132</v>
      </c>
      <c r="BV305" s="1" t="s">
        <v>3825</v>
      </c>
      <c r="BW305" s="1" t="s">
        <v>134</v>
      </c>
      <c r="BX305" s="1" t="s">
        <v>325</v>
      </c>
      <c r="BY305" s="1" t="s">
        <v>135</v>
      </c>
      <c r="BZ305" s="1">
        <v>249506</v>
      </c>
      <c r="CA305" s="1">
        <v>2085</v>
      </c>
      <c r="CB305" s="1" t="s">
        <v>244</v>
      </c>
      <c r="CC305" s="1" t="s">
        <v>217</v>
      </c>
      <c r="CD305" s="1" t="s">
        <v>3826</v>
      </c>
      <c r="CE305" s="1" t="s">
        <v>219</v>
      </c>
      <c r="CF305" s="4">
        <v>139367</v>
      </c>
      <c r="CG305" s="4">
        <v>649123</v>
      </c>
      <c r="CH305" s="1">
        <v>0</v>
      </c>
      <c r="CI305" s="1">
        <v>0</v>
      </c>
      <c r="CJ305" s="1" t="s">
        <v>3827</v>
      </c>
      <c r="CK305" s="1" t="s">
        <v>3828</v>
      </c>
      <c r="CL305" s="1">
        <v>0</v>
      </c>
      <c r="CM305" s="1">
        <v>0</v>
      </c>
      <c r="CN305" s="1">
        <v>0</v>
      </c>
      <c r="CO305" s="1">
        <v>0</v>
      </c>
      <c r="CP305" s="1">
        <v>0</v>
      </c>
      <c r="CQ305" s="1">
        <v>0</v>
      </c>
      <c r="CR305" s="1" t="s">
        <v>139</v>
      </c>
      <c r="CS305" s="1" t="s">
        <v>140</v>
      </c>
      <c r="CT305" s="1" t="s">
        <v>223</v>
      </c>
      <c r="CV305" s="1" t="s">
        <v>3829</v>
      </c>
      <c r="CW305" s="1" t="s">
        <v>251</v>
      </c>
      <c r="CX305" s="1" t="s">
        <v>290</v>
      </c>
      <c r="CY305" s="1" t="s">
        <v>114</v>
      </c>
      <c r="CZ305" s="1" t="s">
        <v>144</v>
      </c>
      <c r="DA305" s="1" t="s">
        <v>145</v>
      </c>
    </row>
    <row r="306" spans="1:105" s="3" customFormat="1" ht="11.25" customHeight="1" x14ac:dyDescent="0.2">
      <c r="A306" s="1">
        <v>41</v>
      </c>
      <c r="B306" s="1" t="s">
        <v>3830</v>
      </c>
      <c r="C306" s="1" t="s">
        <v>3162</v>
      </c>
      <c r="D306" s="1">
        <v>24851</v>
      </c>
      <c r="E306" s="2" t="s">
        <v>4201</v>
      </c>
      <c r="F306" s="1" t="s">
        <v>113</v>
      </c>
      <c r="G306" s="1" t="s">
        <v>190</v>
      </c>
      <c r="H306" s="1" t="s">
        <v>829</v>
      </c>
      <c r="I306" s="1" t="s">
        <v>229</v>
      </c>
      <c r="J306" s="1" t="s">
        <v>229</v>
      </c>
      <c r="L306" s="1" t="s">
        <v>111</v>
      </c>
      <c r="M306" s="1" t="s">
        <v>465</v>
      </c>
      <c r="N306" s="1" t="s">
        <v>112</v>
      </c>
      <c r="O306" s="1" t="s">
        <v>106</v>
      </c>
      <c r="P306" s="1" t="s">
        <v>113</v>
      </c>
      <c r="Q306" s="1" t="s">
        <v>111</v>
      </c>
      <c r="R306" s="1" t="s">
        <v>1263</v>
      </c>
      <c r="S306" s="1" t="s">
        <v>1263</v>
      </c>
      <c r="T306" s="1" t="s">
        <v>106</v>
      </c>
      <c r="U306" s="1" t="s">
        <v>3831</v>
      </c>
      <c r="V306" s="1" t="s">
        <v>1930</v>
      </c>
      <c r="W306" s="1" t="s">
        <v>115</v>
      </c>
      <c r="X306" s="1" t="s">
        <v>113</v>
      </c>
      <c r="Y306" s="1" t="s">
        <v>157</v>
      </c>
      <c r="Z306" s="1">
        <v>100</v>
      </c>
      <c r="AA306" s="1" t="s">
        <v>116</v>
      </c>
      <c r="AB306" s="1" t="s">
        <v>128</v>
      </c>
      <c r="AC306" s="1" t="s">
        <v>118</v>
      </c>
      <c r="AD306" s="1">
        <v>33</v>
      </c>
      <c r="AE306" s="1" t="s">
        <v>116</v>
      </c>
      <c r="AF306" s="1">
        <v>286</v>
      </c>
      <c r="AG306" s="1" t="s">
        <v>113</v>
      </c>
      <c r="AH306" s="1">
        <v>0</v>
      </c>
      <c r="AI306" s="1">
        <v>0</v>
      </c>
      <c r="AJ306" s="1">
        <v>0</v>
      </c>
      <c r="AK306" s="1" t="s">
        <v>232</v>
      </c>
      <c r="AM306" s="1" t="s">
        <v>682</v>
      </c>
      <c r="AO306" s="1" t="s">
        <v>113</v>
      </c>
      <c r="AP306" s="1" t="s">
        <v>113</v>
      </c>
      <c r="AQ306" s="1" t="s">
        <v>1263</v>
      </c>
      <c r="AR306" s="1" t="s">
        <v>1263</v>
      </c>
      <c r="AS306" s="1" t="s">
        <v>1263</v>
      </c>
      <c r="AT306" s="1" t="s">
        <v>123</v>
      </c>
      <c r="AU306" s="1" t="s">
        <v>113</v>
      </c>
      <c r="AV306" s="1" t="s">
        <v>113</v>
      </c>
      <c r="AW306" s="1" t="s">
        <v>164</v>
      </c>
      <c r="AX306" s="1" t="s">
        <v>165</v>
      </c>
      <c r="AY306" s="1">
        <v>0</v>
      </c>
      <c r="AZ306" s="1" t="s">
        <v>113</v>
      </c>
      <c r="BA306" s="1" t="s">
        <v>113</v>
      </c>
      <c r="BB306" s="1" t="s">
        <v>125</v>
      </c>
      <c r="BC306" s="1" t="s">
        <v>166</v>
      </c>
      <c r="BD306" s="1">
        <v>0</v>
      </c>
      <c r="BE306" s="1">
        <v>78</v>
      </c>
      <c r="BF306" s="1" t="s">
        <v>167</v>
      </c>
      <c r="BG306" s="1" t="s">
        <v>116</v>
      </c>
      <c r="BH306" s="1" t="s">
        <v>168</v>
      </c>
      <c r="BI306" s="1" t="s">
        <v>168</v>
      </c>
      <c r="BJ306" s="1" t="s">
        <v>128</v>
      </c>
      <c r="BK306" s="1">
        <v>0</v>
      </c>
      <c r="BL306" s="1" t="s">
        <v>127</v>
      </c>
      <c r="BM306" s="1" t="s">
        <v>114</v>
      </c>
      <c r="BN306" s="1" t="s">
        <v>143</v>
      </c>
      <c r="BP306" s="1" t="s">
        <v>115</v>
      </c>
      <c r="BQ306" s="1" t="s">
        <v>3832</v>
      </c>
      <c r="BR306" s="1" t="s">
        <v>3833</v>
      </c>
      <c r="BS306" s="1" t="s">
        <v>3832</v>
      </c>
      <c r="BT306" s="1" t="s">
        <v>131</v>
      </c>
      <c r="BU306" s="1" t="s">
        <v>132</v>
      </c>
      <c r="BV306" s="1" t="s">
        <v>3834</v>
      </c>
      <c r="BW306" s="1" t="s">
        <v>134</v>
      </c>
      <c r="BX306" s="1" t="s">
        <v>3835</v>
      </c>
      <c r="BY306" s="1" t="s">
        <v>135</v>
      </c>
      <c r="BZ306" s="1" t="s">
        <v>1683</v>
      </c>
      <c r="CA306" s="1">
        <v>286</v>
      </c>
      <c r="CB306" s="1" t="s">
        <v>176</v>
      </c>
      <c r="CC306" s="1" t="s">
        <v>177</v>
      </c>
      <c r="CE306" s="1" t="s">
        <v>179</v>
      </c>
      <c r="CF306" s="1">
        <v>659512</v>
      </c>
      <c r="CG306" s="1">
        <v>1800000</v>
      </c>
      <c r="CH306" s="1">
        <v>358</v>
      </c>
      <c r="CI306" s="1">
        <v>800000</v>
      </c>
      <c r="CJ306" s="1">
        <v>0</v>
      </c>
      <c r="CK306" s="1">
        <v>600000</v>
      </c>
      <c r="CL306" s="1">
        <v>72000</v>
      </c>
      <c r="CM306" s="1">
        <v>0</v>
      </c>
      <c r="CN306" s="1">
        <v>0</v>
      </c>
      <c r="CO306" s="1">
        <v>0</v>
      </c>
      <c r="CP306" s="1">
        <v>0</v>
      </c>
      <c r="CQ306" s="1">
        <v>0</v>
      </c>
      <c r="CR306" s="1" t="s">
        <v>139</v>
      </c>
      <c r="CS306" s="1" t="s">
        <v>308</v>
      </c>
      <c r="CT306" s="1" t="s">
        <v>127</v>
      </c>
      <c r="CU306" s="1" t="s">
        <v>2238</v>
      </c>
      <c r="CV306" s="1" t="s">
        <v>3836</v>
      </c>
      <c r="CW306" s="1" t="s">
        <v>420</v>
      </c>
      <c r="CX306" s="1" t="s">
        <v>3837</v>
      </c>
      <c r="CY306" s="1" t="s">
        <v>143</v>
      </c>
      <c r="CZ306" s="1" t="s">
        <v>144</v>
      </c>
      <c r="DA306" s="1" t="s">
        <v>145</v>
      </c>
    </row>
    <row r="307" spans="1:105" s="3" customFormat="1" ht="11.25" customHeight="1" x14ac:dyDescent="0.2">
      <c r="A307" s="1">
        <v>41</v>
      </c>
      <c r="B307" s="1" t="s">
        <v>3838</v>
      </c>
      <c r="C307" s="1" t="s">
        <v>3839</v>
      </c>
      <c r="D307" s="1">
        <v>20199</v>
      </c>
      <c r="E307" s="2" t="s">
        <v>1688</v>
      </c>
      <c r="F307" s="1"/>
      <c r="G307" s="1"/>
      <c r="H307" s="1"/>
      <c r="I307" s="1"/>
      <c r="J307" s="1"/>
      <c r="K307" s="1"/>
      <c r="L307" s="1"/>
      <c r="M307" s="1"/>
      <c r="N307" s="1"/>
      <c r="O307" s="1"/>
      <c r="P307" s="1"/>
      <c r="Q307" s="1"/>
      <c r="R307" s="5"/>
      <c r="S307" s="1"/>
      <c r="T307" s="1"/>
      <c r="U307" s="1"/>
      <c r="W307" s="1"/>
      <c r="Z307" s="1"/>
      <c r="AA307" s="1"/>
      <c r="AB307" s="1"/>
      <c r="AC307" s="1"/>
      <c r="AD307" s="1"/>
      <c r="AE307" s="1"/>
      <c r="AF307" s="1"/>
      <c r="AG307" s="1"/>
      <c r="AH307" s="1"/>
      <c r="AK307" s="1"/>
      <c r="AM307" s="1"/>
      <c r="AP307" s="1"/>
      <c r="AQ307" s="1"/>
      <c r="AR307" s="1"/>
      <c r="AS307" s="1"/>
      <c r="AU307" s="1"/>
      <c r="AV307" s="1"/>
      <c r="AW307" s="1"/>
      <c r="AY307" s="1"/>
      <c r="AZ307" s="1"/>
      <c r="BA307" s="1"/>
      <c r="BB307" s="1"/>
      <c r="BD307" s="1"/>
      <c r="BE307" s="1"/>
      <c r="BF307" s="1"/>
      <c r="BG307" s="1"/>
      <c r="BJ307" s="1"/>
      <c r="BK307" s="1"/>
      <c r="BL307" s="1"/>
      <c r="BN307" s="1"/>
      <c r="BP307" s="1"/>
      <c r="BQ307" s="1"/>
      <c r="BR307" s="1"/>
      <c r="BS307" s="1"/>
      <c r="BT307" s="1"/>
      <c r="BU307" s="1"/>
      <c r="BV307" s="1"/>
      <c r="BW307" s="1"/>
      <c r="BX307" s="1"/>
      <c r="BY307" s="1"/>
      <c r="BZ307" s="1"/>
      <c r="CA307" s="1"/>
      <c r="CB307" s="1"/>
      <c r="CC307" s="1"/>
      <c r="CF307" s="1"/>
      <c r="CG307" s="1"/>
      <c r="CH307" s="1"/>
      <c r="CI307" s="1"/>
      <c r="CJ307" s="1"/>
      <c r="CK307" s="1"/>
      <c r="CL307" s="1"/>
      <c r="CM307" s="1"/>
      <c r="CN307" s="1"/>
      <c r="CO307" s="1"/>
      <c r="CP307" s="1"/>
      <c r="CQ307" s="1"/>
      <c r="CS307" s="1"/>
      <c r="CT307" s="1"/>
      <c r="CW307" s="1"/>
      <c r="CX307" s="1"/>
      <c r="CY307" s="1"/>
      <c r="CZ307" s="1"/>
      <c r="DA307" s="1"/>
    </row>
    <row r="308" spans="1:105" s="3" customFormat="1" ht="11.25" customHeight="1" x14ac:dyDescent="0.2">
      <c r="A308" s="1">
        <v>41</v>
      </c>
      <c r="B308" s="1" t="s">
        <v>3841</v>
      </c>
      <c r="C308" s="1" t="s">
        <v>3840</v>
      </c>
      <c r="D308" s="1">
        <v>6543</v>
      </c>
      <c r="E308" s="2" t="s">
        <v>4201</v>
      </c>
      <c r="F308" s="1" t="s">
        <v>113</v>
      </c>
      <c r="H308" s="1" t="s">
        <v>948</v>
      </c>
      <c r="I308" s="1" t="s">
        <v>193</v>
      </c>
      <c r="J308" s="1" t="s">
        <v>229</v>
      </c>
      <c r="K308" s="1" t="s">
        <v>3842</v>
      </c>
      <c r="L308" s="1" t="s">
        <v>111</v>
      </c>
      <c r="M308" s="1" t="s">
        <v>191</v>
      </c>
      <c r="N308" s="1" t="s">
        <v>3674</v>
      </c>
      <c r="O308" s="1" t="s">
        <v>113</v>
      </c>
      <c r="P308" s="1" t="s">
        <v>113</v>
      </c>
      <c r="Q308" s="1" t="s">
        <v>195</v>
      </c>
      <c r="R308" s="1" t="s">
        <v>3843</v>
      </c>
      <c r="S308" s="1" t="s">
        <v>157</v>
      </c>
      <c r="T308" s="1" t="s">
        <v>106</v>
      </c>
      <c r="U308" s="1" t="s">
        <v>157</v>
      </c>
      <c r="V308" s="1" t="s">
        <v>3844</v>
      </c>
      <c r="W308" s="1" t="s">
        <v>115</v>
      </c>
      <c r="X308" s="1" t="s">
        <v>113</v>
      </c>
      <c r="Z308" s="1">
        <v>100</v>
      </c>
      <c r="AA308" s="1" t="s">
        <v>116</v>
      </c>
      <c r="AB308" s="1" t="s">
        <v>128</v>
      </c>
      <c r="AC308" s="1" t="s">
        <v>118</v>
      </c>
      <c r="AD308" s="1">
        <v>85</v>
      </c>
      <c r="AE308" s="1" t="s">
        <v>116</v>
      </c>
      <c r="AF308" s="1">
        <v>116</v>
      </c>
      <c r="AG308" s="1" t="s">
        <v>113</v>
      </c>
      <c r="AH308" s="1">
        <v>55</v>
      </c>
      <c r="AI308" s="1">
        <v>80</v>
      </c>
      <c r="AJ308" s="1">
        <v>15</v>
      </c>
      <c r="AK308" s="1" t="s">
        <v>449</v>
      </c>
      <c r="AL308" s="1">
        <v>75</v>
      </c>
      <c r="AM308" s="1" t="s">
        <v>3845</v>
      </c>
      <c r="AN308" s="1">
        <v>0</v>
      </c>
      <c r="AO308" s="1" t="s">
        <v>113</v>
      </c>
      <c r="AP308" s="1" t="s">
        <v>113</v>
      </c>
      <c r="AQ308" s="1" t="s">
        <v>157</v>
      </c>
      <c r="AR308" s="1" t="s">
        <v>157</v>
      </c>
      <c r="AS308" s="1" t="s">
        <v>157</v>
      </c>
      <c r="AT308" s="1" t="s">
        <v>650</v>
      </c>
      <c r="AU308" s="1" t="s">
        <v>113</v>
      </c>
      <c r="AV308" s="1" t="s">
        <v>113</v>
      </c>
      <c r="AW308" s="1" t="s">
        <v>164</v>
      </c>
      <c r="AX308" s="1" t="s">
        <v>165</v>
      </c>
      <c r="AY308" s="1">
        <v>0</v>
      </c>
      <c r="AZ308" s="1" t="s">
        <v>113</v>
      </c>
      <c r="BA308" s="1" t="s">
        <v>113</v>
      </c>
      <c r="BB308" s="1" t="s">
        <v>1484</v>
      </c>
      <c r="BC308" s="1" t="s">
        <v>166</v>
      </c>
      <c r="BD308" s="1">
        <v>0</v>
      </c>
      <c r="BE308" s="1">
        <v>100</v>
      </c>
      <c r="BF308" s="1" t="s">
        <v>630</v>
      </c>
      <c r="BG308" s="1" t="s">
        <v>116</v>
      </c>
      <c r="BH308" s="1" t="s">
        <v>168</v>
      </c>
      <c r="BI308" s="1" t="s">
        <v>168</v>
      </c>
      <c r="BJ308" s="1" t="s">
        <v>208</v>
      </c>
      <c r="BK308" s="1">
        <v>80</v>
      </c>
      <c r="BL308" s="1" t="s">
        <v>270</v>
      </c>
      <c r="BM308" s="1" t="s">
        <v>210</v>
      </c>
      <c r="BN308" s="1">
        <v>6</v>
      </c>
      <c r="BO308" s="1">
        <v>0</v>
      </c>
      <c r="BP308" s="1" t="s">
        <v>124</v>
      </c>
      <c r="BQ308" s="1" t="s">
        <v>948</v>
      </c>
      <c r="BR308" s="1" t="s">
        <v>3846</v>
      </c>
      <c r="BS308" s="1" t="s">
        <v>3847</v>
      </c>
      <c r="BT308" s="1" t="s">
        <v>363</v>
      </c>
      <c r="BU308" s="1" t="s">
        <v>239</v>
      </c>
      <c r="BV308" s="1" t="s">
        <v>1418</v>
      </c>
      <c r="BW308" s="1" t="s">
        <v>134</v>
      </c>
      <c r="BX308" s="1" t="s">
        <v>175</v>
      </c>
      <c r="BY308" s="1" t="s">
        <v>135</v>
      </c>
      <c r="BZ308" s="1" t="s">
        <v>1117</v>
      </c>
      <c r="CA308" s="1">
        <v>1140</v>
      </c>
      <c r="CB308" s="1" t="s">
        <v>244</v>
      </c>
      <c r="CC308" s="1" t="s">
        <v>3848</v>
      </c>
      <c r="CE308" s="1" t="s">
        <v>219</v>
      </c>
      <c r="CF308" s="1">
        <v>25000000</v>
      </c>
      <c r="CG308" s="1">
        <v>25000000</v>
      </c>
      <c r="CH308" s="1">
        <v>850</v>
      </c>
      <c r="CI308" s="1">
        <v>0</v>
      </c>
      <c r="CJ308" s="1">
        <v>350</v>
      </c>
      <c r="CK308" s="1">
        <v>850</v>
      </c>
      <c r="CL308" s="1">
        <v>50</v>
      </c>
      <c r="CM308" s="1">
        <v>350</v>
      </c>
      <c r="CN308" s="1">
        <v>150</v>
      </c>
      <c r="CO308" s="1">
        <v>0</v>
      </c>
      <c r="CP308" s="1">
        <v>0</v>
      </c>
      <c r="CQ308" s="1">
        <v>0</v>
      </c>
      <c r="CR308" s="1" t="s">
        <v>180</v>
      </c>
      <c r="CS308" s="1" t="s">
        <v>140</v>
      </c>
      <c r="CT308" s="1" t="s">
        <v>3849</v>
      </c>
      <c r="CU308" s="1" t="s">
        <v>460</v>
      </c>
      <c r="CV308" s="1" t="s">
        <v>3850</v>
      </c>
      <c r="CW308" s="1" t="s">
        <v>251</v>
      </c>
      <c r="CX308" s="1" t="s">
        <v>709</v>
      </c>
      <c r="CY308" s="1" t="s">
        <v>157</v>
      </c>
      <c r="CZ308" s="1" t="s">
        <v>144</v>
      </c>
      <c r="DA308" s="1" t="s">
        <v>145</v>
      </c>
    </row>
    <row r="309" spans="1:105" s="3" customFormat="1" ht="11.25" customHeight="1" x14ac:dyDescent="0.2">
      <c r="A309" s="1">
        <v>41</v>
      </c>
      <c r="B309" s="1" t="s">
        <v>3852</v>
      </c>
      <c r="C309" s="1" t="s">
        <v>3851</v>
      </c>
      <c r="D309" s="1">
        <v>12770</v>
      </c>
      <c r="E309" s="2" t="s">
        <v>4201</v>
      </c>
      <c r="F309" s="1" t="s">
        <v>106</v>
      </c>
      <c r="G309" s="1" t="s">
        <v>1664</v>
      </c>
      <c r="H309" s="1" t="s">
        <v>2440</v>
      </c>
      <c r="I309" s="1" t="s">
        <v>109</v>
      </c>
      <c r="J309" s="1" t="s">
        <v>106</v>
      </c>
      <c r="K309" s="1" t="s">
        <v>3853</v>
      </c>
      <c r="L309" s="1" t="s">
        <v>111</v>
      </c>
      <c r="M309" s="1" t="s">
        <v>111</v>
      </c>
      <c r="N309" s="1" t="s">
        <v>151</v>
      </c>
      <c r="O309" s="1" t="s">
        <v>106</v>
      </c>
      <c r="P309" s="1" t="s">
        <v>113</v>
      </c>
      <c r="Q309" s="1" t="s">
        <v>195</v>
      </c>
      <c r="R309" s="1" t="s">
        <v>3854</v>
      </c>
      <c r="S309" s="1" t="s">
        <v>114</v>
      </c>
      <c r="T309" s="1" t="s">
        <v>106</v>
      </c>
      <c r="U309" s="1" t="s">
        <v>3855</v>
      </c>
      <c r="V309" s="1" t="s">
        <v>1246</v>
      </c>
      <c r="W309" s="1" t="s">
        <v>115</v>
      </c>
      <c r="X309" s="1" t="s">
        <v>113</v>
      </c>
      <c r="Y309" s="1" t="s">
        <v>114</v>
      </c>
      <c r="Z309" s="1">
        <v>100</v>
      </c>
      <c r="AA309" s="1" t="s">
        <v>116</v>
      </c>
      <c r="AB309" s="1" t="s">
        <v>128</v>
      </c>
      <c r="AC309" s="1" t="s">
        <v>118</v>
      </c>
      <c r="AD309" s="1">
        <v>50</v>
      </c>
      <c r="AE309" s="1" t="s">
        <v>116</v>
      </c>
      <c r="AF309" s="1">
        <v>3400</v>
      </c>
      <c r="AG309" s="1" t="s">
        <v>113</v>
      </c>
      <c r="AH309" s="1">
        <v>30</v>
      </c>
      <c r="AI309" s="1">
        <v>20</v>
      </c>
      <c r="AJ309" s="1">
        <v>50</v>
      </c>
      <c r="AK309" s="1" t="s">
        <v>232</v>
      </c>
      <c r="AL309" s="1">
        <v>0</v>
      </c>
      <c r="AM309" s="1" t="s">
        <v>3856</v>
      </c>
      <c r="AN309" s="1">
        <v>0</v>
      </c>
      <c r="AO309" s="1" t="s">
        <v>113</v>
      </c>
      <c r="AP309" s="1" t="s">
        <v>113</v>
      </c>
      <c r="AQ309" s="1" t="s">
        <v>114</v>
      </c>
      <c r="AR309" s="1" t="s">
        <v>114</v>
      </c>
      <c r="AS309" s="1" t="s">
        <v>114</v>
      </c>
      <c r="AT309" s="1" t="s">
        <v>123</v>
      </c>
      <c r="AU309" s="1" t="s">
        <v>113</v>
      </c>
      <c r="AV309" s="1" t="s">
        <v>113</v>
      </c>
      <c r="AW309" s="1" t="s">
        <v>164</v>
      </c>
      <c r="AX309" s="1" t="s">
        <v>165</v>
      </c>
      <c r="AY309" s="1">
        <v>0</v>
      </c>
      <c r="AZ309" s="1" t="s">
        <v>113</v>
      </c>
      <c r="BA309" s="1" t="s">
        <v>113</v>
      </c>
      <c r="BB309" s="1" t="s">
        <v>125</v>
      </c>
      <c r="BC309" s="1" t="s">
        <v>166</v>
      </c>
      <c r="BD309" s="1">
        <v>0</v>
      </c>
      <c r="BE309" s="1">
        <v>100</v>
      </c>
      <c r="BF309" s="1" t="s">
        <v>167</v>
      </c>
      <c r="BG309" s="1" t="s">
        <v>116</v>
      </c>
      <c r="BJ309" s="1" t="s">
        <v>208</v>
      </c>
      <c r="BK309" s="1">
        <v>40</v>
      </c>
      <c r="BL309" s="1" t="s">
        <v>270</v>
      </c>
      <c r="BM309" s="1" t="s">
        <v>210</v>
      </c>
      <c r="BN309" s="1" t="s">
        <v>143</v>
      </c>
      <c r="BO309" s="1">
        <v>17</v>
      </c>
      <c r="BP309" s="1" t="s">
        <v>115</v>
      </c>
      <c r="BQ309" s="1" t="s">
        <v>2440</v>
      </c>
      <c r="BR309" s="1" t="s">
        <v>3857</v>
      </c>
      <c r="BS309" s="1" t="s">
        <v>3858</v>
      </c>
      <c r="BT309" s="1" t="s">
        <v>172</v>
      </c>
      <c r="BU309" s="1" t="s">
        <v>632</v>
      </c>
      <c r="BV309" s="1" t="s">
        <v>3859</v>
      </c>
      <c r="BW309" s="1" t="s">
        <v>134</v>
      </c>
      <c r="BX309" s="1" t="s">
        <v>114</v>
      </c>
      <c r="BY309" s="1" t="s">
        <v>135</v>
      </c>
      <c r="BZ309" s="1" t="s">
        <v>114</v>
      </c>
      <c r="CA309" s="1">
        <v>5</v>
      </c>
      <c r="CB309" s="1" t="s">
        <v>244</v>
      </c>
      <c r="CC309" s="1" t="s">
        <v>217</v>
      </c>
      <c r="CD309" s="1" t="s">
        <v>3860</v>
      </c>
      <c r="CE309" s="1" t="s">
        <v>219</v>
      </c>
      <c r="CF309" s="1">
        <v>656549.68999999994</v>
      </c>
      <c r="CG309" s="1">
        <v>1594503.48</v>
      </c>
      <c r="CH309" s="1">
        <v>742151.24</v>
      </c>
      <c r="CI309" s="1">
        <v>0</v>
      </c>
      <c r="CJ309" s="1">
        <v>742151.24</v>
      </c>
      <c r="CK309" s="1">
        <v>0</v>
      </c>
      <c r="CL309" s="1">
        <v>0</v>
      </c>
      <c r="CM309" s="1">
        <v>0</v>
      </c>
      <c r="CN309" s="1">
        <v>742151</v>
      </c>
      <c r="CO309" s="1">
        <v>0</v>
      </c>
      <c r="CP309" s="1">
        <v>0</v>
      </c>
      <c r="CQ309" s="1">
        <v>0</v>
      </c>
      <c r="CR309" s="1" t="s">
        <v>139</v>
      </c>
      <c r="CS309" s="1" t="s">
        <v>140</v>
      </c>
      <c r="CT309" s="1" t="s">
        <v>3861</v>
      </c>
      <c r="CU309" s="1" t="s">
        <v>182</v>
      </c>
      <c r="CV309" s="1" t="s">
        <v>3862</v>
      </c>
      <c r="CW309" s="1" t="s">
        <v>141</v>
      </c>
      <c r="CX309" s="1" t="s">
        <v>3863</v>
      </c>
      <c r="CY309" s="1" t="s">
        <v>143</v>
      </c>
      <c r="CZ309" s="1" t="s">
        <v>144</v>
      </c>
    </row>
    <row r="310" spans="1:105" s="3" customFormat="1" ht="11.25" customHeight="1" x14ac:dyDescent="0.2">
      <c r="A310" s="1">
        <v>41</v>
      </c>
      <c r="B310" s="1" t="s">
        <v>3865</v>
      </c>
      <c r="C310" s="1" t="s">
        <v>3864</v>
      </c>
      <c r="D310" s="1">
        <v>13180</v>
      </c>
      <c r="E310" s="2" t="s">
        <v>4201</v>
      </c>
      <c r="F310" s="1" t="s">
        <v>113</v>
      </c>
      <c r="G310" s="1" t="s">
        <v>190</v>
      </c>
      <c r="H310" s="1">
        <v>0</v>
      </c>
      <c r="I310" s="1" t="s">
        <v>229</v>
      </c>
      <c r="J310" s="1" t="s">
        <v>113</v>
      </c>
      <c r="L310" s="1" t="s">
        <v>111</v>
      </c>
      <c r="M310" s="1" t="s">
        <v>111</v>
      </c>
      <c r="N310" s="1" t="s">
        <v>3866</v>
      </c>
      <c r="O310" s="1" t="s">
        <v>113</v>
      </c>
      <c r="P310" s="1" t="s">
        <v>113</v>
      </c>
      <c r="Q310" s="1" t="s">
        <v>195</v>
      </c>
      <c r="R310" s="1" t="s">
        <v>3867</v>
      </c>
      <c r="S310" s="1" t="s">
        <v>114</v>
      </c>
      <c r="T310" s="1" t="s">
        <v>106</v>
      </c>
      <c r="U310" s="1" t="s">
        <v>3868</v>
      </c>
      <c r="V310" s="1" t="s">
        <v>1910</v>
      </c>
      <c r="W310" s="1" t="s">
        <v>115</v>
      </c>
      <c r="X310" s="1" t="s">
        <v>113</v>
      </c>
      <c r="Y310" s="1" t="s">
        <v>114</v>
      </c>
      <c r="Z310" s="1">
        <v>100</v>
      </c>
      <c r="AA310" s="1" t="s">
        <v>132</v>
      </c>
      <c r="AB310" s="1" t="s">
        <v>128</v>
      </c>
      <c r="AC310" s="1" t="s">
        <v>118</v>
      </c>
      <c r="AD310" s="1">
        <v>100</v>
      </c>
      <c r="AE310" s="1" t="s">
        <v>132</v>
      </c>
      <c r="AF310" s="1">
        <v>2160</v>
      </c>
      <c r="AG310" s="1" t="s">
        <v>113</v>
      </c>
      <c r="AH310" s="1">
        <v>70</v>
      </c>
      <c r="AI310" s="1">
        <v>30</v>
      </c>
      <c r="AJ310" s="1">
        <v>0</v>
      </c>
      <c r="AK310" s="1" t="s">
        <v>232</v>
      </c>
      <c r="AL310" s="1">
        <v>500</v>
      </c>
      <c r="AM310" s="1" t="s">
        <v>172</v>
      </c>
      <c r="AN310" s="1">
        <v>300</v>
      </c>
      <c r="AO310" s="1" t="s">
        <v>113</v>
      </c>
      <c r="AP310" s="1" t="s">
        <v>113</v>
      </c>
      <c r="AQ310" s="1" t="s">
        <v>114</v>
      </c>
      <c r="AR310" s="1" t="s">
        <v>114</v>
      </c>
      <c r="AS310" s="1" t="s">
        <v>114</v>
      </c>
      <c r="AT310" s="1" t="s">
        <v>123</v>
      </c>
      <c r="AU310" s="1" t="s">
        <v>113</v>
      </c>
      <c r="AV310" s="1" t="s">
        <v>113</v>
      </c>
      <c r="AW310" s="1" t="s">
        <v>124</v>
      </c>
      <c r="AX310" s="1" t="s">
        <v>165</v>
      </c>
      <c r="AY310" s="1">
        <v>0</v>
      </c>
      <c r="AZ310" s="1" t="s">
        <v>113</v>
      </c>
      <c r="BA310" s="1" t="s">
        <v>113</v>
      </c>
      <c r="BB310" s="1" t="s">
        <v>125</v>
      </c>
      <c r="BC310" s="1" t="s">
        <v>166</v>
      </c>
      <c r="BD310" s="1">
        <v>0</v>
      </c>
      <c r="BE310" s="1">
        <v>100</v>
      </c>
      <c r="BF310" s="1" t="s">
        <v>167</v>
      </c>
      <c r="BG310" s="1" t="s">
        <v>116</v>
      </c>
      <c r="BH310" s="1" t="s">
        <v>169</v>
      </c>
      <c r="BI310" s="1" t="s">
        <v>169</v>
      </c>
      <c r="BJ310" s="1" t="s">
        <v>208</v>
      </c>
      <c r="BK310" s="1">
        <v>60</v>
      </c>
      <c r="BL310" s="1" t="s">
        <v>167</v>
      </c>
      <c r="BM310" s="1" t="s">
        <v>210</v>
      </c>
      <c r="BN310" s="1">
        <v>12</v>
      </c>
      <c r="BP310" s="1" t="s">
        <v>115</v>
      </c>
      <c r="BQ310" s="1" t="s">
        <v>3869</v>
      </c>
      <c r="BR310" s="1" t="s">
        <v>3870</v>
      </c>
      <c r="BS310" s="1" t="s">
        <v>3871</v>
      </c>
      <c r="BT310" s="1" t="s">
        <v>172</v>
      </c>
      <c r="BU310" s="1" t="s">
        <v>132</v>
      </c>
      <c r="BV310" s="1" t="s">
        <v>987</v>
      </c>
      <c r="BW310" s="1" t="s">
        <v>134</v>
      </c>
      <c r="BX310" s="1" t="s">
        <v>325</v>
      </c>
      <c r="BY310" s="1" t="s">
        <v>454</v>
      </c>
      <c r="BZ310" s="1" t="s">
        <v>415</v>
      </c>
      <c r="CA310" s="1">
        <v>2160</v>
      </c>
      <c r="CB310" s="1" t="s">
        <v>137</v>
      </c>
      <c r="CC310" s="1" t="s">
        <v>138</v>
      </c>
      <c r="CF310" s="1">
        <v>0</v>
      </c>
      <c r="CG310" s="1">
        <v>0</v>
      </c>
      <c r="CH310" s="1">
        <v>0</v>
      </c>
      <c r="CI310" s="1">
        <v>0</v>
      </c>
      <c r="CJ310" s="1">
        <v>140000000</v>
      </c>
      <c r="CK310" s="1">
        <v>16560000</v>
      </c>
      <c r="CL310" s="1">
        <v>0</v>
      </c>
      <c r="CM310" s="1">
        <v>0</v>
      </c>
      <c r="CN310" s="1">
        <v>63866788</v>
      </c>
      <c r="CO310" s="1">
        <v>0</v>
      </c>
      <c r="CP310" s="1">
        <v>0</v>
      </c>
      <c r="CQ310" s="1">
        <v>0</v>
      </c>
      <c r="CR310" s="1" t="s">
        <v>139</v>
      </c>
      <c r="CS310" s="1" t="s">
        <v>308</v>
      </c>
      <c r="CT310" s="1" t="s">
        <v>479</v>
      </c>
      <c r="CV310" s="1" t="s">
        <v>747</v>
      </c>
      <c r="CW310" s="1" t="s">
        <v>251</v>
      </c>
      <c r="CX310" s="1" t="s">
        <v>114</v>
      </c>
      <c r="CY310" s="1" t="s">
        <v>143</v>
      </c>
      <c r="CZ310" s="1" t="s">
        <v>144</v>
      </c>
      <c r="DA310" s="1" t="s">
        <v>145</v>
      </c>
    </row>
    <row r="311" spans="1:105" s="3" customFormat="1" ht="11.25" customHeight="1" x14ac:dyDescent="0.2">
      <c r="A311" s="1">
        <v>41</v>
      </c>
      <c r="B311" s="1" t="s">
        <v>3873</v>
      </c>
      <c r="C311" s="1" t="s">
        <v>3872</v>
      </c>
      <c r="D311" s="1">
        <v>3223</v>
      </c>
      <c r="E311" s="2" t="s">
        <v>4201</v>
      </c>
      <c r="F311" s="1" t="s">
        <v>113</v>
      </c>
      <c r="G311" s="1" t="s">
        <v>190</v>
      </c>
      <c r="H311" s="1" t="s">
        <v>3874</v>
      </c>
      <c r="I311" s="1" t="s">
        <v>229</v>
      </c>
      <c r="J311" s="1" t="s">
        <v>229</v>
      </c>
      <c r="L311" s="1" t="s">
        <v>111</v>
      </c>
      <c r="M311" s="1" t="s">
        <v>3875</v>
      </c>
      <c r="N311" s="1" t="s">
        <v>112</v>
      </c>
      <c r="O311" s="1" t="s">
        <v>113</v>
      </c>
      <c r="P311" s="1" t="s">
        <v>113</v>
      </c>
      <c r="Q311" s="1" t="s">
        <v>195</v>
      </c>
      <c r="R311" s="1" t="s">
        <v>3876</v>
      </c>
      <c r="S311" s="1" t="s">
        <v>3876</v>
      </c>
      <c r="T311" s="1" t="s">
        <v>106</v>
      </c>
      <c r="U311" s="1" t="s">
        <v>3876</v>
      </c>
      <c r="V311" s="1" t="s">
        <v>3877</v>
      </c>
      <c r="W311" s="1" t="s">
        <v>115</v>
      </c>
      <c r="X311" s="1" t="s">
        <v>113</v>
      </c>
      <c r="Y311" s="1" t="s">
        <v>3876</v>
      </c>
      <c r="Z311" s="1">
        <v>100</v>
      </c>
      <c r="AA311" s="1" t="s">
        <v>116</v>
      </c>
      <c r="AB311" s="1" t="s">
        <v>128</v>
      </c>
      <c r="AC311" s="1" t="s">
        <v>118</v>
      </c>
      <c r="AD311" s="1">
        <v>10</v>
      </c>
      <c r="AE311" s="1" t="s">
        <v>116</v>
      </c>
      <c r="AF311" s="1">
        <v>430</v>
      </c>
      <c r="AG311" s="1" t="s">
        <v>113</v>
      </c>
      <c r="AH311" s="1">
        <v>80</v>
      </c>
      <c r="AI311" s="1">
        <v>5</v>
      </c>
      <c r="AJ311" s="1">
        <v>0</v>
      </c>
      <c r="AK311" s="1" t="s">
        <v>796</v>
      </c>
      <c r="AL311" s="1">
        <v>50</v>
      </c>
      <c r="AM311" s="1" t="s">
        <v>3878</v>
      </c>
      <c r="AN311" s="1">
        <v>508</v>
      </c>
      <c r="AO311" s="1" t="s">
        <v>113</v>
      </c>
      <c r="AP311" s="1" t="s">
        <v>113</v>
      </c>
      <c r="AQ311" s="1" t="s">
        <v>1341</v>
      </c>
      <c r="AR311" s="1" t="s">
        <v>1341</v>
      </c>
      <c r="AS311" s="1" t="s">
        <v>1341</v>
      </c>
      <c r="AT311" s="1" t="s">
        <v>123</v>
      </c>
      <c r="AU311" s="1" t="s">
        <v>113</v>
      </c>
      <c r="AV311" s="1" t="s">
        <v>113</v>
      </c>
      <c r="AW311" s="1" t="s">
        <v>164</v>
      </c>
      <c r="AY311" s="1">
        <v>0</v>
      </c>
      <c r="AZ311" s="1" t="s">
        <v>113</v>
      </c>
      <c r="BA311" s="1" t="s">
        <v>113</v>
      </c>
      <c r="BB311" s="1" t="s">
        <v>125</v>
      </c>
      <c r="BD311" s="1">
        <v>0</v>
      </c>
      <c r="BE311" s="1">
        <v>100</v>
      </c>
      <c r="BF311" s="1" t="s">
        <v>167</v>
      </c>
      <c r="BG311" s="1" t="s">
        <v>383</v>
      </c>
      <c r="BH311" s="1" t="s">
        <v>207</v>
      </c>
      <c r="BI311" s="1" t="s">
        <v>207</v>
      </c>
      <c r="BJ311" s="1" t="s">
        <v>208</v>
      </c>
      <c r="BK311" s="1">
        <v>30</v>
      </c>
      <c r="BL311" s="1" t="s">
        <v>270</v>
      </c>
      <c r="BM311" s="1" t="s">
        <v>271</v>
      </c>
      <c r="BN311" s="1">
        <v>3</v>
      </c>
      <c r="BO311" s="1">
        <v>0</v>
      </c>
      <c r="BP311" s="1" t="s">
        <v>115</v>
      </c>
      <c r="BQ311" s="1" t="s">
        <v>3879</v>
      </c>
      <c r="BR311" s="1" t="s">
        <v>3880</v>
      </c>
      <c r="BS311" s="1" t="s">
        <v>3881</v>
      </c>
      <c r="BT311" s="1" t="s">
        <v>172</v>
      </c>
      <c r="BU311" s="1" t="s">
        <v>132</v>
      </c>
      <c r="BV311" s="1" t="s">
        <v>3882</v>
      </c>
      <c r="BW311" s="1" t="s">
        <v>134</v>
      </c>
      <c r="BX311" s="1" t="s">
        <v>135</v>
      </c>
      <c r="BY311" s="1" t="s">
        <v>135</v>
      </c>
      <c r="BZ311" s="1" t="s">
        <v>1341</v>
      </c>
      <c r="CA311" s="1">
        <v>430</v>
      </c>
      <c r="CB311" s="1" t="s">
        <v>137</v>
      </c>
      <c r="CC311" s="1" t="s">
        <v>138</v>
      </c>
      <c r="CD311" s="1" t="s">
        <v>1341</v>
      </c>
      <c r="CE311" s="1" t="s">
        <v>179</v>
      </c>
      <c r="CF311" s="1">
        <v>0</v>
      </c>
      <c r="CG311" s="1">
        <v>75</v>
      </c>
      <c r="CH311" s="1">
        <v>75</v>
      </c>
      <c r="CI311" s="1">
        <v>0</v>
      </c>
      <c r="CJ311" s="1">
        <v>0</v>
      </c>
      <c r="CK311" s="1">
        <v>100</v>
      </c>
      <c r="CL311" s="1">
        <v>0</v>
      </c>
      <c r="CM311" s="1">
        <v>30</v>
      </c>
      <c r="CN311" s="1">
        <v>100</v>
      </c>
      <c r="CO311" s="5" t="s">
        <v>220</v>
      </c>
      <c r="CP311" s="1">
        <v>0</v>
      </c>
      <c r="CQ311" s="1">
        <v>0</v>
      </c>
      <c r="CR311" s="1" t="s">
        <v>139</v>
      </c>
      <c r="CS311" s="1" t="s">
        <v>140</v>
      </c>
      <c r="CT311" s="1" t="s">
        <v>223</v>
      </c>
      <c r="CW311" s="1" t="s">
        <v>284</v>
      </c>
      <c r="CX311" s="1" t="s">
        <v>3883</v>
      </c>
      <c r="CY311" s="1" t="s">
        <v>143</v>
      </c>
      <c r="CZ311" s="1" t="s">
        <v>144</v>
      </c>
      <c r="DA311" s="1" t="s">
        <v>145</v>
      </c>
    </row>
    <row r="312" spans="1:105" s="3" customFormat="1" ht="11.25" customHeight="1" x14ac:dyDescent="0.2">
      <c r="A312" s="1">
        <v>41</v>
      </c>
      <c r="B312" s="1" t="s">
        <v>3885</v>
      </c>
      <c r="C312" s="1" t="s">
        <v>3884</v>
      </c>
      <c r="D312" s="1">
        <v>14234</v>
      </c>
      <c r="E312" s="2" t="s">
        <v>4201</v>
      </c>
      <c r="F312" s="1" t="s">
        <v>113</v>
      </c>
      <c r="H312" s="1" t="s">
        <v>3886</v>
      </c>
      <c r="I312" s="1" t="s">
        <v>229</v>
      </c>
      <c r="J312" s="1" t="s">
        <v>113</v>
      </c>
      <c r="L312" s="1" t="s">
        <v>149</v>
      </c>
      <c r="M312" s="1" t="s">
        <v>3887</v>
      </c>
      <c r="N312" s="1" t="s">
        <v>506</v>
      </c>
      <c r="O312" s="1" t="s">
        <v>113</v>
      </c>
      <c r="P312" s="1" t="s">
        <v>113</v>
      </c>
      <c r="Q312" s="1" t="s">
        <v>195</v>
      </c>
      <c r="R312" s="1" t="s">
        <v>3888</v>
      </c>
      <c r="S312" s="1" t="s">
        <v>157</v>
      </c>
      <c r="T312" s="1" t="s">
        <v>106</v>
      </c>
      <c r="U312" s="1" t="s">
        <v>3889</v>
      </c>
      <c r="W312" s="1" t="s">
        <v>115</v>
      </c>
      <c r="X312" s="1" t="s">
        <v>113</v>
      </c>
      <c r="Y312" s="1" t="s">
        <v>157</v>
      </c>
      <c r="Z312" s="1">
        <v>0</v>
      </c>
      <c r="AA312" s="1" t="s">
        <v>589</v>
      </c>
      <c r="AB312" s="1" t="s">
        <v>128</v>
      </c>
      <c r="AC312" s="1" t="s">
        <v>128</v>
      </c>
      <c r="AD312" s="1">
        <v>0</v>
      </c>
      <c r="AE312" s="1" t="s">
        <v>157</v>
      </c>
      <c r="AF312" s="1">
        <v>0</v>
      </c>
      <c r="AG312" s="1" t="s">
        <v>113</v>
      </c>
      <c r="AH312" s="1">
        <v>0</v>
      </c>
      <c r="AI312" s="1">
        <v>0</v>
      </c>
      <c r="AJ312" s="1">
        <v>0</v>
      </c>
      <c r="AK312" s="1" t="s">
        <v>119</v>
      </c>
      <c r="AL312" s="1">
        <v>0</v>
      </c>
      <c r="AM312" s="1" t="s">
        <v>157</v>
      </c>
      <c r="AN312" s="1">
        <v>0</v>
      </c>
      <c r="AO312" s="1" t="s">
        <v>113</v>
      </c>
      <c r="AP312" s="1" t="s">
        <v>106</v>
      </c>
      <c r="AQ312" s="1" t="s">
        <v>3890</v>
      </c>
      <c r="AR312" s="1" t="s">
        <v>3891</v>
      </c>
      <c r="AS312" s="1" t="s">
        <v>3892</v>
      </c>
      <c r="AT312" s="1" t="s">
        <v>1541</v>
      </c>
      <c r="AU312" s="1" t="s">
        <v>113</v>
      </c>
      <c r="AV312" s="1" t="s">
        <v>113</v>
      </c>
      <c r="AW312" s="1" t="s">
        <v>164</v>
      </c>
      <c r="AX312" s="1" t="s">
        <v>165</v>
      </c>
      <c r="AY312" s="1">
        <v>0</v>
      </c>
      <c r="AZ312" s="1" t="s">
        <v>113</v>
      </c>
      <c r="BA312" s="1" t="s">
        <v>113</v>
      </c>
      <c r="BB312" s="1" t="s">
        <v>125</v>
      </c>
      <c r="BC312" s="1" t="s">
        <v>166</v>
      </c>
      <c r="BD312" s="1">
        <v>0</v>
      </c>
      <c r="BE312" s="1">
        <v>100</v>
      </c>
      <c r="BF312" s="1" t="s">
        <v>167</v>
      </c>
      <c r="BG312" s="1" t="s">
        <v>132</v>
      </c>
      <c r="BH312" s="1" t="s">
        <v>168</v>
      </c>
      <c r="BI312" s="1" t="s">
        <v>168</v>
      </c>
      <c r="BJ312" s="1" t="s">
        <v>208</v>
      </c>
      <c r="BK312" s="1">
        <v>20</v>
      </c>
      <c r="BL312" s="1" t="s">
        <v>270</v>
      </c>
      <c r="BM312" s="1" t="s">
        <v>781</v>
      </c>
      <c r="BN312" s="1">
        <v>1</v>
      </c>
      <c r="BO312" s="1">
        <v>2</v>
      </c>
      <c r="BP312" s="1" t="s">
        <v>115</v>
      </c>
      <c r="BQ312" s="1" t="s">
        <v>2505</v>
      </c>
      <c r="BR312" s="1" t="s">
        <v>3893</v>
      </c>
      <c r="BS312" s="1" t="s">
        <v>3894</v>
      </c>
      <c r="BT312" s="1" t="s">
        <v>172</v>
      </c>
      <c r="BU312" s="1" t="s">
        <v>132</v>
      </c>
      <c r="BV312" s="1" t="s">
        <v>3895</v>
      </c>
      <c r="BW312" s="1" t="s">
        <v>134</v>
      </c>
      <c r="BX312" s="1" t="s">
        <v>157</v>
      </c>
      <c r="BY312" s="1" t="s">
        <v>135</v>
      </c>
      <c r="BZ312" s="1" t="s">
        <v>3896</v>
      </c>
      <c r="CA312" s="1">
        <v>874</v>
      </c>
      <c r="CB312" s="1" t="s">
        <v>176</v>
      </c>
      <c r="CC312" s="1" t="s">
        <v>301</v>
      </c>
      <c r="CD312" s="1" t="s">
        <v>3897</v>
      </c>
      <c r="CE312" s="1" t="s">
        <v>458</v>
      </c>
      <c r="CF312" s="6">
        <v>407023.2</v>
      </c>
      <c r="CG312" s="1">
        <v>675488.04</v>
      </c>
      <c r="CH312" s="1">
        <v>153995.9</v>
      </c>
      <c r="CI312" s="1">
        <v>0</v>
      </c>
      <c r="CJ312" s="1">
        <v>350501.26</v>
      </c>
      <c r="CK312" s="1">
        <v>170990.88</v>
      </c>
      <c r="CL312" s="1">
        <v>0</v>
      </c>
      <c r="CM312" s="1">
        <v>0</v>
      </c>
      <c r="CN312" s="1">
        <v>0</v>
      </c>
      <c r="CO312" s="1">
        <v>0</v>
      </c>
      <c r="CP312" s="1">
        <v>0</v>
      </c>
      <c r="CQ312" s="1">
        <v>0</v>
      </c>
      <c r="CR312" s="1" t="s">
        <v>139</v>
      </c>
      <c r="CS312" s="1" t="s">
        <v>308</v>
      </c>
      <c r="CT312" s="1" t="s">
        <v>3898</v>
      </c>
      <c r="CW312" s="1" t="s">
        <v>184</v>
      </c>
      <c r="CX312" s="1" t="s">
        <v>3899</v>
      </c>
      <c r="CY312" s="1" t="s">
        <v>3900</v>
      </c>
      <c r="CZ312" s="1" t="s">
        <v>144</v>
      </c>
      <c r="DA312" s="1" t="s">
        <v>145</v>
      </c>
    </row>
    <row r="313" spans="1:105" s="3" customFormat="1" ht="11.25" customHeight="1" x14ac:dyDescent="0.2">
      <c r="A313" s="1">
        <v>41</v>
      </c>
      <c r="B313" s="1" t="s">
        <v>3902</v>
      </c>
      <c r="C313" s="1" t="s">
        <v>3901</v>
      </c>
      <c r="D313" s="1">
        <v>3850</v>
      </c>
      <c r="E313" s="2" t="s">
        <v>4201</v>
      </c>
      <c r="F313" s="1" t="s">
        <v>113</v>
      </c>
      <c r="G313" s="1" t="s">
        <v>190</v>
      </c>
      <c r="H313" s="1" t="s">
        <v>3565</v>
      </c>
      <c r="I313" s="1" t="s">
        <v>229</v>
      </c>
      <c r="J313" s="1" t="s">
        <v>229</v>
      </c>
      <c r="K313" s="1" t="s">
        <v>3903</v>
      </c>
      <c r="L313" s="1" t="s">
        <v>111</v>
      </c>
      <c r="M313" s="1" t="s">
        <v>3904</v>
      </c>
      <c r="N313" s="1" t="s">
        <v>112</v>
      </c>
      <c r="O313" s="1" t="s">
        <v>106</v>
      </c>
      <c r="P313" s="1" t="s">
        <v>113</v>
      </c>
      <c r="Q313" s="1" t="s">
        <v>111</v>
      </c>
      <c r="R313" s="1" t="s">
        <v>3904</v>
      </c>
      <c r="S313" s="1" t="s">
        <v>3904</v>
      </c>
      <c r="T313" s="1" t="s">
        <v>113</v>
      </c>
      <c r="U313" s="1" t="s">
        <v>1341</v>
      </c>
      <c r="V313" s="1" t="s">
        <v>3702</v>
      </c>
      <c r="W313" s="1" t="s">
        <v>115</v>
      </c>
      <c r="X313" s="1" t="s">
        <v>113</v>
      </c>
      <c r="Z313" s="1">
        <v>100</v>
      </c>
      <c r="AA313" s="1" t="s">
        <v>116</v>
      </c>
      <c r="AB313" s="1" t="s">
        <v>128</v>
      </c>
      <c r="AC313" s="1" t="s">
        <v>384</v>
      </c>
      <c r="AD313" s="1">
        <v>100</v>
      </c>
      <c r="AE313" s="1" t="s">
        <v>116</v>
      </c>
      <c r="AF313" s="1">
        <v>337</v>
      </c>
      <c r="AG313" s="1" t="s">
        <v>113</v>
      </c>
      <c r="AH313" s="1">
        <v>0</v>
      </c>
      <c r="AI313" s="1">
        <v>0</v>
      </c>
      <c r="AJ313" s="1">
        <v>0</v>
      </c>
      <c r="AK313" s="1" t="s">
        <v>232</v>
      </c>
      <c r="AM313" s="1" t="s">
        <v>1157</v>
      </c>
      <c r="AN313" s="1">
        <v>0</v>
      </c>
      <c r="AO313" s="1" t="s">
        <v>113</v>
      </c>
      <c r="AP313" s="1" t="s">
        <v>106</v>
      </c>
      <c r="AQ313" s="1" t="s">
        <v>3905</v>
      </c>
      <c r="AR313" s="1" t="s">
        <v>3906</v>
      </c>
      <c r="AS313" s="1" t="s">
        <v>3907</v>
      </c>
      <c r="AT313" s="1" t="s">
        <v>123</v>
      </c>
      <c r="AU313" s="1" t="s">
        <v>113</v>
      </c>
      <c r="AV313" s="1" t="s">
        <v>113</v>
      </c>
      <c r="AW313" s="1" t="s">
        <v>164</v>
      </c>
      <c r="AX313" s="1" t="s">
        <v>165</v>
      </c>
      <c r="AY313" s="1">
        <v>0</v>
      </c>
      <c r="AZ313" s="1" t="s">
        <v>113</v>
      </c>
      <c r="BA313" s="1" t="s">
        <v>113</v>
      </c>
      <c r="BB313" s="1" t="s">
        <v>125</v>
      </c>
      <c r="BC313" s="1" t="s">
        <v>166</v>
      </c>
      <c r="BD313" s="1">
        <v>0</v>
      </c>
      <c r="BE313" s="1">
        <v>100</v>
      </c>
      <c r="BF313" s="1" t="s">
        <v>167</v>
      </c>
      <c r="BG313" s="1" t="s">
        <v>268</v>
      </c>
      <c r="BH313" s="1" t="s">
        <v>569</v>
      </c>
      <c r="BI313" s="1" t="s">
        <v>569</v>
      </c>
      <c r="BJ313" s="1" t="s">
        <v>384</v>
      </c>
      <c r="BK313" s="1">
        <v>100</v>
      </c>
      <c r="BL313" s="1" t="s">
        <v>167</v>
      </c>
      <c r="BM313" s="1" t="s">
        <v>271</v>
      </c>
      <c r="BN313" s="5" t="s">
        <v>2511</v>
      </c>
      <c r="BO313" s="1">
        <v>0</v>
      </c>
      <c r="BP313" s="1" t="s">
        <v>115</v>
      </c>
      <c r="BQ313" s="1" t="s">
        <v>3908</v>
      </c>
      <c r="BR313" s="1" t="s">
        <v>3909</v>
      </c>
      <c r="BS313" s="1" t="s">
        <v>3910</v>
      </c>
      <c r="BT313" s="1" t="s">
        <v>172</v>
      </c>
      <c r="BU313" s="1" t="s">
        <v>132</v>
      </c>
      <c r="BV313" s="1" t="s">
        <v>275</v>
      </c>
      <c r="BW313" s="1" t="s">
        <v>134</v>
      </c>
      <c r="BX313" s="1" t="s">
        <v>3911</v>
      </c>
      <c r="BY313" s="1" t="s">
        <v>135</v>
      </c>
      <c r="BZ313" s="1" t="s">
        <v>3912</v>
      </c>
      <c r="CA313" s="1">
        <v>337</v>
      </c>
      <c r="CB313" s="1" t="s">
        <v>244</v>
      </c>
      <c r="CC313" s="1" t="s">
        <v>138</v>
      </c>
      <c r="CD313" s="1" t="s">
        <v>3913</v>
      </c>
      <c r="CE313" s="1" t="s">
        <v>219</v>
      </c>
      <c r="CF313" s="1">
        <v>0</v>
      </c>
      <c r="CG313" s="1">
        <v>334.42500000000001</v>
      </c>
      <c r="CH313" s="1">
        <v>158.49199999999999</v>
      </c>
      <c r="CI313" s="1">
        <v>175.93199999999999</v>
      </c>
      <c r="CJ313" s="1">
        <v>0</v>
      </c>
      <c r="CK313" s="1">
        <v>101.491</v>
      </c>
      <c r="CL313" s="1">
        <v>0</v>
      </c>
      <c r="CM313" s="1">
        <v>0</v>
      </c>
      <c r="CN313" s="1">
        <v>0</v>
      </c>
      <c r="CO313" s="1">
        <v>0</v>
      </c>
      <c r="CP313" s="1">
        <v>0</v>
      </c>
      <c r="CQ313" s="1">
        <v>0</v>
      </c>
      <c r="CR313" s="1" t="s">
        <v>139</v>
      </c>
      <c r="CS313" s="1" t="s">
        <v>308</v>
      </c>
      <c r="CT313" s="1" t="s">
        <v>394</v>
      </c>
      <c r="CW313" s="1" t="s">
        <v>141</v>
      </c>
      <c r="CX313" s="5" t="s">
        <v>220</v>
      </c>
      <c r="CY313" s="1" t="s">
        <v>584</v>
      </c>
      <c r="CZ313" s="1" t="s">
        <v>144</v>
      </c>
      <c r="DA313" s="1" t="s">
        <v>145</v>
      </c>
    </row>
    <row r="314" spans="1:105" s="3" customFormat="1" ht="11.25" customHeight="1" x14ac:dyDescent="0.2">
      <c r="A314" s="3">
        <v>41</v>
      </c>
      <c r="B314" s="3" t="s">
        <v>3914</v>
      </c>
      <c r="C314" s="3" t="s">
        <v>3915</v>
      </c>
      <c r="D314" s="3">
        <v>23712</v>
      </c>
      <c r="E314" s="2" t="s">
        <v>1688</v>
      </c>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4"/>
      <c r="AM314" s="1"/>
      <c r="AN314" s="4"/>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4"/>
      <c r="CG314" s="4"/>
      <c r="CH314" s="4"/>
      <c r="CI314" s="1"/>
      <c r="CJ314" s="1"/>
      <c r="CK314" s="1"/>
      <c r="CL314" s="1"/>
      <c r="CM314" s="1"/>
      <c r="CN314" s="1"/>
      <c r="CO314" s="1"/>
      <c r="CP314" s="1"/>
      <c r="CQ314" s="1"/>
      <c r="CR314" s="1"/>
      <c r="CS314" s="1"/>
      <c r="CT314" s="1"/>
      <c r="CU314" s="1"/>
      <c r="CV314" s="1"/>
      <c r="CW314" s="1"/>
      <c r="CX314" s="1"/>
      <c r="CY314" s="1"/>
      <c r="CZ314" s="1"/>
      <c r="DA314" s="1"/>
    </row>
    <row r="315" spans="1:105" s="3" customFormat="1" ht="11.25" customHeight="1" x14ac:dyDescent="0.2">
      <c r="A315" s="1">
        <v>41</v>
      </c>
      <c r="B315" s="1" t="s">
        <v>3917</v>
      </c>
      <c r="C315" s="1" t="s">
        <v>3916</v>
      </c>
      <c r="D315" s="1">
        <v>39307</v>
      </c>
      <c r="E315" s="2" t="s">
        <v>4201</v>
      </c>
      <c r="F315" s="1" t="s">
        <v>106</v>
      </c>
      <c r="G315" s="1" t="s">
        <v>3918</v>
      </c>
      <c r="H315" s="1" t="s">
        <v>3919</v>
      </c>
      <c r="I315" s="1" t="s">
        <v>1348</v>
      </c>
      <c r="J315" s="1" t="s">
        <v>106</v>
      </c>
      <c r="K315" s="1" t="s">
        <v>110</v>
      </c>
      <c r="L315" s="1" t="s">
        <v>111</v>
      </c>
      <c r="M315" s="1" t="s">
        <v>191</v>
      </c>
      <c r="N315" s="1" t="s">
        <v>3026</v>
      </c>
      <c r="O315" s="1" t="s">
        <v>106</v>
      </c>
      <c r="P315" s="1" t="s">
        <v>113</v>
      </c>
      <c r="Q315" s="1" t="s">
        <v>258</v>
      </c>
      <c r="R315" s="1" t="s">
        <v>3920</v>
      </c>
      <c r="S315" s="1" t="s">
        <v>3921</v>
      </c>
      <c r="T315" s="1" t="s">
        <v>106</v>
      </c>
      <c r="U315" s="1" t="s">
        <v>157</v>
      </c>
      <c r="V315" s="1" t="s">
        <v>3922</v>
      </c>
      <c r="W315" s="1" t="s">
        <v>115</v>
      </c>
      <c r="X315" s="1" t="s">
        <v>113</v>
      </c>
      <c r="Y315" s="1" t="s">
        <v>157</v>
      </c>
      <c r="Z315" s="1">
        <v>100</v>
      </c>
      <c r="AA315" s="1" t="s">
        <v>159</v>
      </c>
      <c r="AB315" s="1" t="s">
        <v>128</v>
      </c>
      <c r="AC315" s="1" t="s">
        <v>118</v>
      </c>
      <c r="AD315" s="1">
        <v>70</v>
      </c>
      <c r="AE315" s="1" t="s">
        <v>159</v>
      </c>
      <c r="AF315" s="1">
        <v>5374</v>
      </c>
      <c r="AG315" s="1" t="s">
        <v>106</v>
      </c>
      <c r="AH315" s="1">
        <v>45</v>
      </c>
      <c r="AI315" s="1">
        <v>32</v>
      </c>
      <c r="AJ315" s="1">
        <v>22</v>
      </c>
      <c r="AK315" s="1" t="s">
        <v>200</v>
      </c>
      <c r="AL315" s="1">
        <v>1650</v>
      </c>
      <c r="AM315" s="1" t="s">
        <v>3923</v>
      </c>
      <c r="AN315" s="1">
        <v>1650</v>
      </c>
      <c r="AO315" s="1" t="s">
        <v>113</v>
      </c>
      <c r="AP315" s="1" t="s">
        <v>106</v>
      </c>
      <c r="AQ315" s="1" t="s">
        <v>3924</v>
      </c>
      <c r="AR315" s="1" t="s">
        <v>3925</v>
      </c>
      <c r="AS315" s="1" t="s">
        <v>3926</v>
      </c>
      <c r="AT315" s="1" t="s">
        <v>650</v>
      </c>
      <c r="AU315" s="1" t="s">
        <v>113</v>
      </c>
      <c r="AV315" s="1" t="s">
        <v>113</v>
      </c>
      <c r="AW315" s="1" t="s">
        <v>164</v>
      </c>
      <c r="AX315" s="1" t="s">
        <v>165</v>
      </c>
      <c r="AY315" s="1">
        <v>0</v>
      </c>
      <c r="AZ315" s="1" t="s">
        <v>113</v>
      </c>
      <c r="BA315" s="1" t="s">
        <v>113</v>
      </c>
      <c r="BB315" s="1" t="s">
        <v>125</v>
      </c>
      <c r="BC315" s="1" t="s">
        <v>166</v>
      </c>
      <c r="BD315" s="1">
        <v>0</v>
      </c>
      <c r="BE315" s="1">
        <v>100</v>
      </c>
      <c r="BF315" s="1" t="s">
        <v>167</v>
      </c>
      <c r="BG315" s="1" t="s">
        <v>268</v>
      </c>
      <c r="BH315" s="1" t="s">
        <v>269</v>
      </c>
      <c r="BI315" s="1" t="s">
        <v>269</v>
      </c>
      <c r="BJ315" s="1" t="s">
        <v>208</v>
      </c>
      <c r="BK315" s="1">
        <v>70</v>
      </c>
      <c r="BL315" s="1" t="s">
        <v>167</v>
      </c>
      <c r="BM315" s="1" t="s">
        <v>210</v>
      </c>
      <c r="BN315" s="1">
        <v>56</v>
      </c>
      <c r="BO315" s="1">
        <v>0</v>
      </c>
      <c r="BP315" s="1" t="s">
        <v>115</v>
      </c>
      <c r="BQ315" s="1" t="s">
        <v>110</v>
      </c>
      <c r="BR315" s="1" t="s">
        <v>3927</v>
      </c>
      <c r="BS315" s="1" t="s">
        <v>130</v>
      </c>
      <c r="BT315" s="1" t="s">
        <v>172</v>
      </c>
      <c r="BU315" s="1" t="s">
        <v>132</v>
      </c>
      <c r="BV315" s="1" t="s">
        <v>817</v>
      </c>
      <c r="BW315" s="1" t="s">
        <v>134</v>
      </c>
      <c r="BX315" s="1" t="s">
        <v>175</v>
      </c>
      <c r="BY315" s="1" t="s">
        <v>135</v>
      </c>
      <c r="BZ315" s="1" t="s">
        <v>3928</v>
      </c>
      <c r="CA315" s="1">
        <v>5374</v>
      </c>
      <c r="CB315" s="1" t="s">
        <v>244</v>
      </c>
      <c r="CC315" s="1" t="s">
        <v>217</v>
      </c>
      <c r="CD315" s="1" t="s">
        <v>3929</v>
      </c>
      <c r="CE315" s="1" t="s">
        <v>219</v>
      </c>
      <c r="CF315" s="1" t="s">
        <v>3930</v>
      </c>
      <c r="CG315" s="1" t="s">
        <v>3931</v>
      </c>
      <c r="CH315" s="1" t="s">
        <v>3932</v>
      </c>
      <c r="CI315" s="1" t="s">
        <v>3933</v>
      </c>
      <c r="CJ315" s="1" t="s">
        <v>3934</v>
      </c>
      <c r="CK315" s="1" t="s">
        <v>3935</v>
      </c>
      <c r="CL315" s="1" t="s">
        <v>3936</v>
      </c>
      <c r="CM315" s="1" t="s">
        <v>3937</v>
      </c>
      <c r="CN315" s="1" t="s">
        <v>280</v>
      </c>
      <c r="CO315" s="1">
        <v>0</v>
      </c>
      <c r="CP315" s="1">
        <v>0</v>
      </c>
      <c r="CQ315" s="1">
        <v>0</v>
      </c>
      <c r="CR315" s="1" t="s">
        <v>139</v>
      </c>
      <c r="CS315" s="1" t="s">
        <v>140</v>
      </c>
      <c r="CT315" s="1" t="s">
        <v>3938</v>
      </c>
      <c r="CV315" s="1" t="s">
        <v>589</v>
      </c>
      <c r="CW315" s="1" t="s">
        <v>141</v>
      </c>
      <c r="CX315" s="1" t="s">
        <v>3939</v>
      </c>
      <c r="CY315" s="1" t="s">
        <v>276</v>
      </c>
      <c r="CZ315" s="1" t="s">
        <v>144</v>
      </c>
      <c r="DA315" s="1" t="s">
        <v>145</v>
      </c>
    </row>
    <row r="316" spans="1:105" s="3" customFormat="1" ht="11.25" customHeight="1" x14ac:dyDescent="0.2">
      <c r="A316" s="1">
        <v>41</v>
      </c>
      <c r="B316" s="1" t="s">
        <v>3941</v>
      </c>
      <c r="C316" s="1" t="s">
        <v>3940</v>
      </c>
      <c r="D316" s="1">
        <v>31992</v>
      </c>
      <c r="E316" s="2" t="s">
        <v>4201</v>
      </c>
      <c r="F316" s="1" t="s">
        <v>113</v>
      </c>
      <c r="G316" s="1" t="s">
        <v>190</v>
      </c>
      <c r="H316" s="1" t="s">
        <v>829</v>
      </c>
      <c r="I316" s="1" t="s">
        <v>229</v>
      </c>
      <c r="J316" s="1" t="s">
        <v>229</v>
      </c>
      <c r="K316" s="1" t="s">
        <v>829</v>
      </c>
      <c r="L316" s="1" t="s">
        <v>1943</v>
      </c>
      <c r="M316" s="1" t="s">
        <v>3942</v>
      </c>
      <c r="N316" s="1" t="s">
        <v>1509</v>
      </c>
      <c r="O316" s="1" t="s">
        <v>106</v>
      </c>
      <c r="P316" s="1" t="s">
        <v>113</v>
      </c>
      <c r="Q316" s="1" t="s">
        <v>258</v>
      </c>
      <c r="R316" s="1" t="s">
        <v>3943</v>
      </c>
      <c r="S316" s="1" t="s">
        <v>3944</v>
      </c>
      <c r="T316" s="1" t="s">
        <v>106</v>
      </c>
      <c r="U316" s="1" t="s">
        <v>3943</v>
      </c>
      <c r="V316" s="1" t="s">
        <v>3945</v>
      </c>
      <c r="W316" s="1" t="s">
        <v>755</v>
      </c>
      <c r="X316" s="1" t="s">
        <v>113</v>
      </c>
      <c r="Z316" s="1">
        <v>100</v>
      </c>
      <c r="AA316" s="1" t="s">
        <v>132</v>
      </c>
      <c r="AB316" s="1" t="s">
        <v>128</v>
      </c>
      <c r="AC316" s="1" t="s">
        <v>118</v>
      </c>
      <c r="AD316" s="1">
        <v>20</v>
      </c>
      <c r="AE316" s="1" t="s">
        <v>132</v>
      </c>
      <c r="AF316" s="1">
        <v>4600</v>
      </c>
      <c r="AG316" s="1" t="s">
        <v>113</v>
      </c>
      <c r="AH316" s="1">
        <v>0</v>
      </c>
      <c r="AI316" s="1">
        <v>0</v>
      </c>
      <c r="AJ316" s="1">
        <v>0</v>
      </c>
      <c r="AK316" s="1" t="s">
        <v>232</v>
      </c>
      <c r="AL316" s="1">
        <v>0</v>
      </c>
      <c r="AM316" s="1" t="s">
        <v>1302</v>
      </c>
      <c r="AN316" s="1">
        <v>0</v>
      </c>
      <c r="AO316" s="1" t="s">
        <v>113</v>
      </c>
      <c r="AP316" s="1" t="s">
        <v>113</v>
      </c>
      <c r="AQ316" s="1" t="s">
        <v>114</v>
      </c>
      <c r="AR316" s="1" t="s">
        <v>114</v>
      </c>
      <c r="AS316" s="1" t="s">
        <v>114</v>
      </c>
      <c r="AT316" s="1" t="s">
        <v>204</v>
      </c>
      <c r="AU316" s="1" t="s">
        <v>113</v>
      </c>
      <c r="AV316" s="1" t="s">
        <v>113</v>
      </c>
      <c r="AW316" s="1" t="s">
        <v>234</v>
      </c>
      <c r="AX316" s="1" t="s">
        <v>550</v>
      </c>
      <c r="AY316" s="1">
        <v>0</v>
      </c>
      <c r="AZ316" s="1" t="s">
        <v>113</v>
      </c>
      <c r="BA316" s="1" t="s">
        <v>113</v>
      </c>
      <c r="BB316" s="1" t="s">
        <v>125</v>
      </c>
      <c r="BC316" s="1" t="s">
        <v>166</v>
      </c>
      <c r="BD316" s="1">
        <v>0</v>
      </c>
      <c r="BE316" s="1">
        <v>80</v>
      </c>
      <c r="BF316" s="1" t="s">
        <v>167</v>
      </c>
      <c r="BG316" s="1" t="s">
        <v>268</v>
      </c>
      <c r="BH316" s="1" t="s">
        <v>269</v>
      </c>
      <c r="BI316" s="1" t="s">
        <v>269</v>
      </c>
      <c r="BJ316" s="1" t="s">
        <v>208</v>
      </c>
      <c r="BK316" s="1">
        <v>5</v>
      </c>
      <c r="BL316" s="1" t="s">
        <v>270</v>
      </c>
      <c r="BM316" s="1" t="s">
        <v>271</v>
      </c>
      <c r="BN316" s="1" t="s">
        <v>143</v>
      </c>
      <c r="BO316" s="1" t="s">
        <v>143</v>
      </c>
      <c r="BP316" s="1" t="s">
        <v>115</v>
      </c>
      <c r="BQ316" s="1" t="s">
        <v>3946</v>
      </c>
      <c r="BR316" s="1" t="s">
        <v>3947</v>
      </c>
      <c r="BS316" s="1" t="s">
        <v>3944</v>
      </c>
      <c r="BT316" s="1" t="s">
        <v>172</v>
      </c>
      <c r="BU316" s="1" t="s">
        <v>132</v>
      </c>
      <c r="BV316" s="1" t="s">
        <v>174</v>
      </c>
      <c r="BW316" s="1" t="s">
        <v>134</v>
      </c>
      <c r="BX316" s="1" t="s">
        <v>3944</v>
      </c>
      <c r="BY316" s="1" t="s">
        <v>135</v>
      </c>
      <c r="BZ316" s="1" t="s">
        <v>3944</v>
      </c>
      <c r="CA316" s="1">
        <v>4600</v>
      </c>
      <c r="CB316" s="1" t="s">
        <v>176</v>
      </c>
      <c r="CC316" s="1" t="s">
        <v>496</v>
      </c>
      <c r="CE316" s="1" t="s">
        <v>478</v>
      </c>
      <c r="CF316" s="1">
        <v>0</v>
      </c>
      <c r="CG316" s="1">
        <v>0</v>
      </c>
      <c r="CH316" s="1">
        <v>186.95</v>
      </c>
      <c r="CI316" s="1">
        <v>0</v>
      </c>
      <c r="CJ316" s="1">
        <v>146.25</v>
      </c>
      <c r="CK316" s="1">
        <v>159.07</v>
      </c>
      <c r="CL316" s="1">
        <v>159</v>
      </c>
      <c r="CM316" s="1">
        <v>146</v>
      </c>
      <c r="CN316" s="1">
        <v>0</v>
      </c>
      <c r="CO316" s="1">
        <v>0</v>
      </c>
      <c r="CP316" s="1">
        <v>0</v>
      </c>
      <c r="CQ316" s="1">
        <v>0</v>
      </c>
      <c r="CR316" s="1" t="s">
        <v>180</v>
      </c>
      <c r="CS316" s="1" t="s">
        <v>140</v>
      </c>
      <c r="CT316" s="1" t="s">
        <v>3948</v>
      </c>
      <c r="CW316" s="1" t="s">
        <v>284</v>
      </c>
      <c r="CX316" s="1" t="s">
        <v>3944</v>
      </c>
      <c r="CY316" s="1" t="s">
        <v>3944</v>
      </c>
      <c r="CZ316" s="1" t="s">
        <v>144</v>
      </c>
      <c r="DA316" s="1" t="s">
        <v>145</v>
      </c>
    </row>
    <row r="317" spans="1:105" s="3" customFormat="1" ht="11.25" customHeight="1" x14ac:dyDescent="0.2">
      <c r="A317" s="1">
        <v>41</v>
      </c>
      <c r="B317" s="1" t="s">
        <v>3950</v>
      </c>
      <c r="C317" s="1" t="s">
        <v>3949</v>
      </c>
      <c r="D317" s="1">
        <v>74935</v>
      </c>
      <c r="E317" s="2" t="s">
        <v>4201</v>
      </c>
      <c r="F317" s="1" t="s">
        <v>113</v>
      </c>
      <c r="G317" s="1" t="s">
        <v>190</v>
      </c>
      <c r="H317" s="1" t="s">
        <v>111</v>
      </c>
      <c r="I317" s="1" t="s">
        <v>229</v>
      </c>
      <c r="J317" s="1" t="s">
        <v>229</v>
      </c>
      <c r="L317" s="1" t="s">
        <v>111</v>
      </c>
      <c r="M317" s="1" t="s">
        <v>111</v>
      </c>
      <c r="N317" s="1" t="s">
        <v>2360</v>
      </c>
      <c r="O317" s="1" t="s">
        <v>106</v>
      </c>
      <c r="P317" s="1" t="s">
        <v>113</v>
      </c>
      <c r="Q317" s="1" t="s">
        <v>195</v>
      </c>
      <c r="R317" s="1" t="s">
        <v>3951</v>
      </c>
      <c r="S317" s="1" t="s">
        <v>114</v>
      </c>
      <c r="T317" s="1" t="s">
        <v>106</v>
      </c>
      <c r="U317" s="1" t="s">
        <v>3952</v>
      </c>
      <c r="V317" s="1" t="s">
        <v>3953</v>
      </c>
      <c r="W317" s="1" t="s">
        <v>199</v>
      </c>
      <c r="X317" s="1" t="s">
        <v>106</v>
      </c>
      <c r="Y317" s="1" t="s">
        <v>114</v>
      </c>
      <c r="Z317" s="1">
        <v>100</v>
      </c>
      <c r="AA317" s="1" t="s">
        <v>132</v>
      </c>
      <c r="AB317" s="1" t="s">
        <v>128</v>
      </c>
      <c r="AC317" s="1" t="s">
        <v>118</v>
      </c>
      <c r="AD317" s="1">
        <v>50</v>
      </c>
      <c r="AE317" s="1" t="s">
        <v>132</v>
      </c>
      <c r="AF317" s="1">
        <v>15857</v>
      </c>
      <c r="AG317" s="1" t="s">
        <v>113</v>
      </c>
      <c r="AH317" s="1">
        <v>0</v>
      </c>
      <c r="AI317" s="1">
        <v>0</v>
      </c>
      <c r="AJ317" s="1">
        <v>0</v>
      </c>
      <c r="AK317" s="1" t="s">
        <v>232</v>
      </c>
      <c r="AM317" s="1" t="s">
        <v>120</v>
      </c>
      <c r="AO317" s="1" t="s">
        <v>113</v>
      </c>
      <c r="AP317" s="1" t="s">
        <v>113</v>
      </c>
      <c r="AQ317" s="1" t="s">
        <v>114</v>
      </c>
      <c r="AR317" s="1" t="s">
        <v>114</v>
      </c>
      <c r="AS317" s="1" t="s">
        <v>114</v>
      </c>
      <c r="AT317" s="1" t="s">
        <v>204</v>
      </c>
      <c r="AU317" s="1" t="s">
        <v>106</v>
      </c>
      <c r="AV317" s="1" t="s">
        <v>113</v>
      </c>
      <c r="AW317" s="1" t="s">
        <v>205</v>
      </c>
      <c r="AY317" s="1">
        <v>1875</v>
      </c>
      <c r="AZ317" s="1" t="s">
        <v>113</v>
      </c>
      <c r="BA317" s="1" t="s">
        <v>113</v>
      </c>
      <c r="BB317" s="1" t="s">
        <v>125</v>
      </c>
      <c r="BD317" s="1">
        <v>0</v>
      </c>
      <c r="BE317" s="1">
        <v>100</v>
      </c>
      <c r="BF317" s="1" t="s">
        <v>167</v>
      </c>
      <c r="BG317" s="1" t="s">
        <v>132</v>
      </c>
      <c r="BI317" s="1" t="s">
        <v>269</v>
      </c>
      <c r="BJ317" s="1" t="s">
        <v>208</v>
      </c>
      <c r="BK317" s="1">
        <v>50</v>
      </c>
      <c r="BL317" s="1" t="s">
        <v>270</v>
      </c>
      <c r="BM317" s="1" t="s">
        <v>472</v>
      </c>
      <c r="BN317" s="1" t="s">
        <v>143</v>
      </c>
      <c r="BP317" s="1" t="s">
        <v>124</v>
      </c>
      <c r="BQ317" s="1" t="s">
        <v>504</v>
      </c>
      <c r="BR317" s="1" t="s">
        <v>3954</v>
      </c>
      <c r="BS317" s="1" t="s">
        <v>3955</v>
      </c>
      <c r="BT317" s="1" t="s">
        <v>172</v>
      </c>
      <c r="BU317" s="1" t="s">
        <v>132</v>
      </c>
      <c r="BV317" s="1" t="s">
        <v>3542</v>
      </c>
      <c r="BW317" s="1" t="s">
        <v>134</v>
      </c>
      <c r="BX317" s="1" t="s">
        <v>135</v>
      </c>
      <c r="BY317" s="1" t="s">
        <v>135</v>
      </c>
      <c r="BZ317" s="1" t="s">
        <v>3956</v>
      </c>
      <c r="CA317" s="1">
        <v>15857</v>
      </c>
      <c r="CB317" s="1" t="s">
        <v>244</v>
      </c>
      <c r="CC317" s="1" t="s">
        <v>217</v>
      </c>
      <c r="CD317" s="1" t="s">
        <v>3957</v>
      </c>
      <c r="CE317" s="1" t="s">
        <v>219</v>
      </c>
      <c r="CF317" s="1" t="s">
        <v>3958</v>
      </c>
      <c r="CG317" s="1" t="s">
        <v>3959</v>
      </c>
      <c r="CH317" s="1" t="s">
        <v>3960</v>
      </c>
      <c r="CI317" s="1">
        <v>0</v>
      </c>
      <c r="CJ317" s="1" t="s">
        <v>3961</v>
      </c>
      <c r="CK317" s="1" t="s">
        <v>3962</v>
      </c>
      <c r="CL317" s="1" t="s">
        <v>3963</v>
      </c>
      <c r="CM317" s="1">
        <v>0</v>
      </c>
      <c r="CN317" s="1" t="s">
        <v>3964</v>
      </c>
      <c r="CO317" s="1">
        <v>0</v>
      </c>
      <c r="CP317" s="1">
        <v>0</v>
      </c>
      <c r="CQ317" s="1">
        <v>0</v>
      </c>
      <c r="CR317" s="1" t="s">
        <v>139</v>
      </c>
      <c r="CS317" s="1" t="s">
        <v>140</v>
      </c>
      <c r="CT317" s="1" t="s">
        <v>3965</v>
      </c>
      <c r="CV317" s="1" t="s">
        <v>3966</v>
      </c>
      <c r="CW317" s="1" t="s">
        <v>420</v>
      </c>
      <c r="CX317" s="1" t="s">
        <v>3967</v>
      </c>
      <c r="CY317" s="1" t="s">
        <v>143</v>
      </c>
      <c r="CZ317" s="1" t="s">
        <v>144</v>
      </c>
      <c r="DA317" s="1" t="s">
        <v>145</v>
      </c>
    </row>
    <row r="318" spans="1:105" s="3" customFormat="1" ht="11.25" customHeight="1" x14ac:dyDescent="0.2">
      <c r="A318" s="1">
        <v>41</v>
      </c>
      <c r="B318" s="1" t="s">
        <v>3969</v>
      </c>
      <c r="C318" s="1" t="s">
        <v>3968</v>
      </c>
      <c r="D318" s="1">
        <v>11371</v>
      </c>
      <c r="E318" s="2" t="s">
        <v>4201</v>
      </c>
      <c r="F318" s="1" t="s">
        <v>113</v>
      </c>
      <c r="G318" s="1" t="s">
        <v>190</v>
      </c>
      <c r="H318" s="1" t="s">
        <v>504</v>
      </c>
      <c r="I318" s="1" t="s">
        <v>229</v>
      </c>
      <c r="J318" s="1" t="s">
        <v>229</v>
      </c>
      <c r="K318" s="1" t="s">
        <v>504</v>
      </c>
      <c r="L318" s="1" t="s">
        <v>111</v>
      </c>
      <c r="M318" s="1" t="s">
        <v>111</v>
      </c>
      <c r="N318" s="1" t="s">
        <v>112</v>
      </c>
      <c r="O318" s="1" t="s">
        <v>113</v>
      </c>
      <c r="P318" s="1" t="s">
        <v>113</v>
      </c>
      <c r="Q318" s="1" t="s">
        <v>195</v>
      </c>
      <c r="R318" s="1" t="s">
        <v>3970</v>
      </c>
      <c r="S318" s="1" t="s">
        <v>114</v>
      </c>
      <c r="T318" s="1" t="s">
        <v>106</v>
      </c>
      <c r="U318" s="1" t="s">
        <v>3971</v>
      </c>
      <c r="V318" s="1" t="s">
        <v>3972</v>
      </c>
      <c r="W318" s="1" t="s">
        <v>199</v>
      </c>
      <c r="X318" s="1" t="s">
        <v>113</v>
      </c>
      <c r="Y318" s="1" t="s">
        <v>114</v>
      </c>
      <c r="Z318" s="1">
        <v>98</v>
      </c>
      <c r="AA318" s="1" t="s">
        <v>116</v>
      </c>
      <c r="AB318" s="1" t="s">
        <v>117</v>
      </c>
      <c r="AC318" s="1" t="s">
        <v>118</v>
      </c>
      <c r="AD318" s="1">
        <v>5</v>
      </c>
      <c r="AE318" s="1" t="s">
        <v>116</v>
      </c>
      <c r="AF318" s="1">
        <v>1592</v>
      </c>
      <c r="AG318" s="1" t="s">
        <v>106</v>
      </c>
      <c r="AH318" s="1">
        <v>12</v>
      </c>
      <c r="AI318" s="1">
        <v>48</v>
      </c>
      <c r="AJ318" s="1">
        <v>42</v>
      </c>
      <c r="AK318" s="1" t="s">
        <v>119</v>
      </c>
      <c r="AL318" s="1">
        <v>0</v>
      </c>
      <c r="AM318" s="1" t="s">
        <v>3973</v>
      </c>
      <c r="AN318" s="1">
        <v>0</v>
      </c>
      <c r="AO318" s="1" t="s">
        <v>113</v>
      </c>
      <c r="AP318" s="1" t="s">
        <v>106</v>
      </c>
      <c r="AQ318" s="1" t="s">
        <v>3974</v>
      </c>
      <c r="AR318" s="1" t="s">
        <v>3975</v>
      </c>
      <c r="AS318" s="1" t="s">
        <v>3976</v>
      </c>
      <c r="AT318" s="1" t="s">
        <v>344</v>
      </c>
      <c r="AU318" s="1" t="s">
        <v>113</v>
      </c>
      <c r="AV318" s="1" t="s">
        <v>113</v>
      </c>
      <c r="AW318" s="1" t="s">
        <v>234</v>
      </c>
      <c r="AX318" s="1" t="s">
        <v>3977</v>
      </c>
      <c r="AY318" s="1">
        <v>6000</v>
      </c>
      <c r="AZ318" s="1" t="s">
        <v>113</v>
      </c>
      <c r="BA318" s="1" t="s">
        <v>113</v>
      </c>
      <c r="BB318" s="1" t="s">
        <v>125</v>
      </c>
      <c r="BC318" s="1" t="s">
        <v>166</v>
      </c>
      <c r="BD318" s="1">
        <v>0</v>
      </c>
      <c r="BE318" s="1">
        <v>98</v>
      </c>
      <c r="BF318" s="1" t="s">
        <v>1165</v>
      </c>
      <c r="BG318" s="1" t="s">
        <v>268</v>
      </c>
      <c r="BH318" s="1" t="s">
        <v>269</v>
      </c>
      <c r="BI318" s="1" t="s">
        <v>269</v>
      </c>
      <c r="BJ318" s="1" t="s">
        <v>208</v>
      </c>
      <c r="BK318" s="1">
        <v>3</v>
      </c>
      <c r="BL318" s="1" t="s">
        <v>1165</v>
      </c>
      <c r="BM318" s="1" t="s">
        <v>271</v>
      </c>
      <c r="BN318" s="1">
        <v>10</v>
      </c>
      <c r="BO318" s="1">
        <v>0</v>
      </c>
      <c r="BP318" s="1" t="s">
        <v>115</v>
      </c>
      <c r="BQ318" s="1" t="s">
        <v>984</v>
      </c>
      <c r="BR318" s="5" t="s">
        <v>1365</v>
      </c>
      <c r="BS318" s="1" t="s">
        <v>3978</v>
      </c>
      <c r="BT318" s="1" t="s">
        <v>172</v>
      </c>
      <c r="BU318" s="1" t="s">
        <v>132</v>
      </c>
      <c r="BV318" s="1" t="s">
        <v>2936</v>
      </c>
      <c r="BW318" s="1" t="s">
        <v>134</v>
      </c>
      <c r="BX318" s="1" t="s">
        <v>633</v>
      </c>
      <c r="BY318" s="1" t="s">
        <v>135</v>
      </c>
      <c r="BZ318" s="1" t="s">
        <v>1400</v>
      </c>
      <c r="CA318" s="1">
        <v>1952</v>
      </c>
      <c r="CB318" s="1" t="s">
        <v>176</v>
      </c>
      <c r="CC318" s="1" t="s">
        <v>301</v>
      </c>
      <c r="CD318" s="1" t="s">
        <v>3979</v>
      </c>
      <c r="CE318" s="1" t="s">
        <v>458</v>
      </c>
      <c r="CF318" s="1">
        <v>360000</v>
      </c>
      <c r="CG318" s="1">
        <v>1630964</v>
      </c>
      <c r="CH318" s="1">
        <v>164</v>
      </c>
      <c r="CI318" s="1">
        <v>10</v>
      </c>
      <c r="CJ318" s="1">
        <v>373</v>
      </c>
      <c r="CK318" s="1">
        <v>100</v>
      </c>
      <c r="CL318" s="1">
        <v>250</v>
      </c>
      <c r="CM318" s="1">
        <v>373</v>
      </c>
      <c r="CN318" s="1">
        <v>10</v>
      </c>
      <c r="CO318" s="1">
        <v>10</v>
      </c>
      <c r="CP318" s="1">
        <v>20</v>
      </c>
      <c r="CQ318" s="1">
        <v>0</v>
      </c>
      <c r="CR318" s="1" t="s">
        <v>139</v>
      </c>
      <c r="CS318" s="1" t="s">
        <v>140</v>
      </c>
      <c r="CT318" s="1" t="s">
        <v>3980</v>
      </c>
      <c r="CU318" s="1" t="s">
        <v>617</v>
      </c>
      <c r="CW318" s="1" t="s">
        <v>251</v>
      </c>
      <c r="CX318" s="1" t="s">
        <v>114</v>
      </c>
      <c r="CY318" s="1" t="s">
        <v>143</v>
      </c>
      <c r="CZ318" s="1" t="s">
        <v>144</v>
      </c>
      <c r="DA318" s="1" t="s">
        <v>145</v>
      </c>
    </row>
    <row r="319" spans="1:105" s="3" customFormat="1" ht="11.25" customHeight="1" x14ac:dyDescent="0.2">
      <c r="A319" s="1">
        <v>41</v>
      </c>
      <c r="B319" s="1" t="s">
        <v>3982</v>
      </c>
      <c r="C319" s="1" t="s">
        <v>3981</v>
      </c>
      <c r="D319" s="1">
        <v>5491</v>
      </c>
      <c r="E319" s="2" t="s">
        <v>4201</v>
      </c>
      <c r="F319" s="1" t="s">
        <v>113</v>
      </c>
      <c r="G319" s="1" t="s">
        <v>190</v>
      </c>
      <c r="H319" s="1" t="s">
        <v>1688</v>
      </c>
      <c r="I319" s="1" t="s">
        <v>229</v>
      </c>
      <c r="J319" s="1" t="s">
        <v>229</v>
      </c>
      <c r="L319" s="1" t="s">
        <v>111</v>
      </c>
      <c r="M319" s="1" t="s">
        <v>230</v>
      </c>
      <c r="N319" s="1" t="s">
        <v>112</v>
      </c>
      <c r="O319" s="1" t="s">
        <v>113</v>
      </c>
      <c r="P319" s="1" t="s">
        <v>113</v>
      </c>
      <c r="Q319" s="1" t="s">
        <v>1298</v>
      </c>
      <c r="R319" s="1" t="s">
        <v>1683</v>
      </c>
      <c r="S319" s="1" t="s">
        <v>1683</v>
      </c>
      <c r="T319" s="1" t="s">
        <v>106</v>
      </c>
      <c r="U319" s="1" t="s">
        <v>3983</v>
      </c>
      <c r="V319" s="1" t="s">
        <v>3984</v>
      </c>
      <c r="W319" s="1" t="s">
        <v>115</v>
      </c>
      <c r="X319" s="1" t="s">
        <v>113</v>
      </c>
      <c r="Y319" s="1" t="s">
        <v>1683</v>
      </c>
      <c r="Z319" s="1">
        <v>100</v>
      </c>
      <c r="AA319" s="1" t="s">
        <v>116</v>
      </c>
      <c r="AB319" s="1" t="s">
        <v>128</v>
      </c>
      <c r="AC319" s="1" t="s">
        <v>128</v>
      </c>
      <c r="AD319" s="1">
        <v>0</v>
      </c>
      <c r="AE319" s="1" t="s">
        <v>116</v>
      </c>
      <c r="AF319" s="1">
        <v>2500</v>
      </c>
      <c r="AG319" s="1" t="s">
        <v>113</v>
      </c>
      <c r="AH319" s="1">
        <v>12</v>
      </c>
      <c r="AI319" s="1">
        <v>5</v>
      </c>
      <c r="AJ319" s="1">
        <v>8</v>
      </c>
      <c r="AK319" s="1" t="s">
        <v>232</v>
      </c>
      <c r="AL319" s="1">
        <v>800</v>
      </c>
      <c r="AM319" s="1" t="s">
        <v>3985</v>
      </c>
      <c r="AN319" s="1">
        <v>0</v>
      </c>
      <c r="AO319" s="1" t="s">
        <v>113</v>
      </c>
      <c r="AP319" s="1" t="s">
        <v>113</v>
      </c>
      <c r="AQ319" s="1" t="s">
        <v>1683</v>
      </c>
      <c r="AR319" s="1" t="s">
        <v>3986</v>
      </c>
      <c r="AS319" s="1" t="s">
        <v>1683</v>
      </c>
      <c r="AT319" s="1" t="s">
        <v>123</v>
      </c>
      <c r="AU319" s="1" t="s">
        <v>113</v>
      </c>
      <c r="AV319" s="1" t="s">
        <v>113</v>
      </c>
      <c r="AW319" s="1" t="s">
        <v>164</v>
      </c>
      <c r="AX319" s="1" t="s">
        <v>165</v>
      </c>
      <c r="AY319" s="1">
        <v>0</v>
      </c>
      <c r="AZ319" s="1" t="s">
        <v>113</v>
      </c>
      <c r="BA319" s="1" t="s">
        <v>113</v>
      </c>
      <c r="BB319" s="1" t="s">
        <v>125</v>
      </c>
      <c r="BC319" s="1" t="s">
        <v>166</v>
      </c>
      <c r="BD319" s="1">
        <v>0</v>
      </c>
      <c r="BE319" s="1">
        <v>100</v>
      </c>
      <c r="BF319" s="1" t="s">
        <v>167</v>
      </c>
      <c r="BG319" s="1" t="s">
        <v>116</v>
      </c>
      <c r="BH319" s="1" t="s">
        <v>168</v>
      </c>
      <c r="BI319" s="1" t="s">
        <v>168</v>
      </c>
      <c r="BJ319" s="1" t="s">
        <v>128</v>
      </c>
      <c r="BK319" s="1">
        <v>0</v>
      </c>
      <c r="BL319" s="1" t="s">
        <v>127</v>
      </c>
      <c r="BM319" s="1" t="s">
        <v>210</v>
      </c>
      <c r="BN319" s="1" t="s">
        <v>143</v>
      </c>
      <c r="BP319" s="1" t="s">
        <v>115</v>
      </c>
      <c r="BQ319" s="1" t="s">
        <v>2527</v>
      </c>
      <c r="BR319" s="1" t="s">
        <v>1683</v>
      </c>
      <c r="BS319" s="1" t="s">
        <v>3987</v>
      </c>
      <c r="BT319" s="1" t="s">
        <v>172</v>
      </c>
      <c r="BU319" s="1" t="s">
        <v>132</v>
      </c>
      <c r="BV319" s="1" t="s">
        <v>2877</v>
      </c>
      <c r="BW319" s="1" t="s">
        <v>134</v>
      </c>
      <c r="BX319" s="1" t="s">
        <v>1683</v>
      </c>
      <c r="BY319" s="1" t="s">
        <v>135</v>
      </c>
      <c r="BZ319" s="1" t="s">
        <v>3988</v>
      </c>
      <c r="CA319" s="1">
        <v>195</v>
      </c>
      <c r="CB319" s="1" t="s">
        <v>244</v>
      </c>
      <c r="CC319" s="1" t="s">
        <v>177</v>
      </c>
      <c r="CE319" s="1" t="s">
        <v>179</v>
      </c>
      <c r="CF319" s="1">
        <v>30000</v>
      </c>
      <c r="CG319" s="1">
        <v>371216</v>
      </c>
      <c r="CH319" s="1">
        <v>0</v>
      </c>
      <c r="CI319" s="1">
        <v>371216</v>
      </c>
      <c r="CJ319" s="1">
        <v>0</v>
      </c>
      <c r="CK319" s="1">
        <v>0</v>
      </c>
      <c r="CL319" s="1">
        <v>0</v>
      </c>
      <c r="CM319" s="1">
        <v>0</v>
      </c>
      <c r="CN319" s="1">
        <v>0</v>
      </c>
      <c r="CO319" s="1">
        <v>0</v>
      </c>
      <c r="CP319" s="1">
        <v>0</v>
      </c>
      <c r="CQ319" s="1">
        <v>0</v>
      </c>
      <c r="CR319" s="1" t="s">
        <v>139</v>
      </c>
      <c r="CS319" s="1" t="s">
        <v>308</v>
      </c>
      <c r="CT319" s="1" t="s">
        <v>1309</v>
      </c>
      <c r="CV319" s="1" t="s">
        <v>439</v>
      </c>
      <c r="CW319" s="1" t="s">
        <v>184</v>
      </c>
      <c r="CX319" s="1" t="s">
        <v>1683</v>
      </c>
      <c r="CY319" s="1" t="s">
        <v>143</v>
      </c>
      <c r="CZ319" s="1" t="s">
        <v>144</v>
      </c>
      <c r="DA319" s="1" t="s">
        <v>145</v>
      </c>
    </row>
    <row r="320" spans="1:105" s="3" customFormat="1" ht="11.25" customHeight="1" x14ac:dyDescent="0.2">
      <c r="A320" s="1">
        <v>41</v>
      </c>
      <c r="B320" s="1" t="s">
        <v>3990</v>
      </c>
      <c r="C320" s="1" t="s">
        <v>3989</v>
      </c>
      <c r="D320" s="1">
        <v>9320</v>
      </c>
      <c r="E320" s="2" t="s">
        <v>4201</v>
      </c>
      <c r="F320" s="1" t="s">
        <v>113</v>
      </c>
      <c r="G320" s="1" t="s">
        <v>190</v>
      </c>
      <c r="H320" s="1" t="s">
        <v>504</v>
      </c>
      <c r="I320" s="1" t="s">
        <v>229</v>
      </c>
      <c r="J320" s="1" t="s">
        <v>229</v>
      </c>
      <c r="L320" s="1" t="s">
        <v>149</v>
      </c>
      <c r="M320" s="1" t="s">
        <v>3991</v>
      </c>
      <c r="N320" s="1" t="s">
        <v>112</v>
      </c>
      <c r="O320" s="1" t="s">
        <v>113</v>
      </c>
      <c r="P320" s="1" t="s">
        <v>113</v>
      </c>
      <c r="Q320" s="1" t="s">
        <v>152</v>
      </c>
      <c r="R320" s="1" t="s">
        <v>157</v>
      </c>
      <c r="S320" s="1" t="s">
        <v>3992</v>
      </c>
      <c r="T320" s="1" t="s">
        <v>106</v>
      </c>
      <c r="U320" s="1" t="s">
        <v>157</v>
      </c>
      <c r="W320" s="1" t="s">
        <v>115</v>
      </c>
      <c r="X320" s="1" t="s">
        <v>113</v>
      </c>
      <c r="Y320" s="1" t="s">
        <v>157</v>
      </c>
      <c r="Z320" s="1">
        <v>100</v>
      </c>
      <c r="AA320" s="1" t="s">
        <v>116</v>
      </c>
      <c r="AB320" s="1" t="s">
        <v>128</v>
      </c>
      <c r="AC320" s="1" t="s">
        <v>128</v>
      </c>
      <c r="AD320" s="1">
        <v>0</v>
      </c>
      <c r="AE320" s="1" t="s">
        <v>3993</v>
      </c>
      <c r="AF320" s="1">
        <v>1455</v>
      </c>
      <c r="AG320" s="1" t="s">
        <v>113</v>
      </c>
      <c r="AH320" s="1">
        <v>0</v>
      </c>
      <c r="AI320" s="1">
        <v>0</v>
      </c>
      <c r="AJ320" s="1">
        <v>0</v>
      </c>
      <c r="AK320" s="1" t="s">
        <v>200</v>
      </c>
      <c r="AL320" s="1">
        <v>0</v>
      </c>
      <c r="AM320" s="1" t="s">
        <v>3994</v>
      </c>
      <c r="AN320" s="1">
        <v>0</v>
      </c>
      <c r="AO320" s="1" t="s">
        <v>113</v>
      </c>
      <c r="AP320" s="1" t="s">
        <v>106</v>
      </c>
      <c r="AQ320" s="1" t="s">
        <v>3995</v>
      </c>
      <c r="AR320" s="1" t="s">
        <v>3996</v>
      </c>
      <c r="AS320" s="1" t="s">
        <v>3997</v>
      </c>
      <c r="AT320" s="1" t="s">
        <v>123</v>
      </c>
      <c r="AU320" s="1" t="s">
        <v>113</v>
      </c>
      <c r="AV320" s="1" t="s">
        <v>113</v>
      </c>
      <c r="AW320" s="1" t="s">
        <v>164</v>
      </c>
      <c r="AY320" s="1">
        <v>0</v>
      </c>
      <c r="AZ320" s="1" t="s">
        <v>113</v>
      </c>
      <c r="BA320" s="1" t="s">
        <v>113</v>
      </c>
      <c r="BB320" s="1" t="s">
        <v>125</v>
      </c>
      <c r="BD320" s="1">
        <v>0</v>
      </c>
      <c r="BE320" s="1">
        <v>100</v>
      </c>
      <c r="BF320" s="1" t="s">
        <v>167</v>
      </c>
      <c r="BG320" s="1" t="s">
        <v>383</v>
      </c>
      <c r="BH320" s="1" t="s">
        <v>269</v>
      </c>
      <c r="BI320" s="1" t="s">
        <v>269</v>
      </c>
      <c r="BJ320" s="1" t="s">
        <v>208</v>
      </c>
      <c r="BK320" s="1">
        <v>60</v>
      </c>
      <c r="BL320" s="1" t="s">
        <v>270</v>
      </c>
      <c r="BM320" s="1" t="s">
        <v>210</v>
      </c>
      <c r="BN320" s="1">
        <v>10</v>
      </c>
      <c r="BO320" s="1">
        <v>2</v>
      </c>
      <c r="BP320" s="1" t="s">
        <v>115</v>
      </c>
      <c r="BQ320" s="1" t="s">
        <v>359</v>
      </c>
      <c r="BR320" s="1" t="s">
        <v>3998</v>
      </c>
      <c r="BS320" s="1" t="s">
        <v>2569</v>
      </c>
      <c r="BT320" s="1" t="s">
        <v>172</v>
      </c>
      <c r="BU320" s="1" t="s">
        <v>132</v>
      </c>
      <c r="BV320" s="1" t="s">
        <v>3999</v>
      </c>
      <c r="BW320" s="1" t="s">
        <v>134</v>
      </c>
      <c r="BX320" s="1" t="s">
        <v>175</v>
      </c>
      <c r="BY320" s="1" t="s">
        <v>135</v>
      </c>
      <c r="BZ320" s="1">
        <v>282578</v>
      </c>
      <c r="CA320" s="1">
        <v>1591</v>
      </c>
      <c r="CB320" s="1" t="s">
        <v>137</v>
      </c>
      <c r="CC320" s="1" t="s">
        <v>138</v>
      </c>
      <c r="CF320" s="1">
        <v>0</v>
      </c>
      <c r="CG320" s="1">
        <v>1072340.1299999999</v>
      </c>
      <c r="CH320" s="1">
        <v>91.7</v>
      </c>
      <c r="CI320" s="1">
        <v>0</v>
      </c>
      <c r="CJ320" s="1">
        <v>365</v>
      </c>
      <c r="CK320" s="1">
        <v>327.54000000000002</v>
      </c>
      <c r="CL320" s="1">
        <v>875</v>
      </c>
      <c r="CM320" s="1">
        <v>365</v>
      </c>
      <c r="CN320" s="1">
        <v>0</v>
      </c>
      <c r="CO320" s="1">
        <v>0</v>
      </c>
      <c r="CP320" s="1">
        <v>0</v>
      </c>
      <c r="CQ320" s="1">
        <v>0</v>
      </c>
      <c r="CR320" s="1" t="s">
        <v>139</v>
      </c>
      <c r="CS320" s="1" t="s">
        <v>140</v>
      </c>
      <c r="CT320" s="1" t="s">
        <v>746</v>
      </c>
      <c r="CV320" s="1" t="s">
        <v>4000</v>
      </c>
      <c r="CW320" s="1" t="s">
        <v>141</v>
      </c>
      <c r="CX320" s="1" t="s">
        <v>4001</v>
      </c>
      <c r="CY320" s="1" t="s">
        <v>4002</v>
      </c>
      <c r="CZ320" s="1" t="s">
        <v>144</v>
      </c>
      <c r="DA320" s="1" t="s">
        <v>145</v>
      </c>
    </row>
    <row r="321" spans="1:105" s="3" customFormat="1" ht="11.25" customHeight="1" x14ac:dyDescent="0.2">
      <c r="A321" s="1">
        <v>41</v>
      </c>
      <c r="B321" s="1" t="s">
        <v>4004</v>
      </c>
      <c r="C321" s="1" t="s">
        <v>4003</v>
      </c>
      <c r="D321" s="1">
        <v>4097</v>
      </c>
      <c r="E321" s="2" t="s">
        <v>4201</v>
      </c>
      <c r="F321" s="1" t="s">
        <v>106</v>
      </c>
      <c r="G321" s="1" t="s">
        <v>4005</v>
      </c>
      <c r="H321" s="1" t="s">
        <v>4006</v>
      </c>
      <c r="I321" s="1" t="s">
        <v>4007</v>
      </c>
      <c r="J321" s="1" t="s">
        <v>113</v>
      </c>
      <c r="K321" s="1" t="s">
        <v>4008</v>
      </c>
      <c r="L321" s="1" t="s">
        <v>4009</v>
      </c>
      <c r="M321" s="1" t="s">
        <v>465</v>
      </c>
      <c r="N321" s="1" t="s">
        <v>112</v>
      </c>
      <c r="O321" s="1" t="s">
        <v>113</v>
      </c>
      <c r="P321" s="1" t="s">
        <v>113</v>
      </c>
      <c r="Q321" s="1" t="s">
        <v>1298</v>
      </c>
      <c r="R321" s="1" t="s">
        <v>114</v>
      </c>
      <c r="S321" s="1" t="s">
        <v>114</v>
      </c>
      <c r="T321" s="1" t="s">
        <v>113</v>
      </c>
      <c r="U321" s="1" t="s">
        <v>114</v>
      </c>
      <c r="V321" s="1" t="s">
        <v>2580</v>
      </c>
      <c r="W321" s="1" t="s">
        <v>115</v>
      </c>
      <c r="X321" s="1" t="s">
        <v>113</v>
      </c>
      <c r="Y321" s="1" t="s">
        <v>114</v>
      </c>
      <c r="Z321" s="1">
        <v>100</v>
      </c>
      <c r="AA321" s="1" t="s">
        <v>132</v>
      </c>
      <c r="AB321" s="1" t="s">
        <v>128</v>
      </c>
      <c r="AC321" s="1" t="s">
        <v>118</v>
      </c>
      <c r="AD321" s="1">
        <v>90</v>
      </c>
      <c r="AE321" s="1" t="s">
        <v>116</v>
      </c>
      <c r="AF321" s="1">
        <v>432</v>
      </c>
      <c r="AG321" s="1" t="s">
        <v>113</v>
      </c>
      <c r="AH321" s="1">
        <v>0</v>
      </c>
      <c r="AI321" s="1">
        <v>35</v>
      </c>
      <c r="AJ321" s="1">
        <v>0</v>
      </c>
      <c r="AK321" s="1" t="s">
        <v>119</v>
      </c>
      <c r="AL321" s="1">
        <v>0</v>
      </c>
      <c r="AM321" s="1" t="s">
        <v>4010</v>
      </c>
      <c r="AN321" s="1">
        <v>0</v>
      </c>
      <c r="AO321" s="1" t="s">
        <v>113</v>
      </c>
      <c r="AP321" s="1" t="s">
        <v>113</v>
      </c>
      <c r="AQ321" s="1" t="s">
        <v>157</v>
      </c>
      <c r="AR321" s="1" t="s">
        <v>114</v>
      </c>
      <c r="AS321" s="1" t="s">
        <v>373</v>
      </c>
      <c r="AT321" s="1" t="s">
        <v>123</v>
      </c>
      <c r="AU321" s="1" t="s">
        <v>106</v>
      </c>
      <c r="AV321" s="1" t="s">
        <v>113</v>
      </c>
      <c r="AW321" s="1" t="s">
        <v>164</v>
      </c>
      <c r="AX321" s="1" t="s">
        <v>165</v>
      </c>
      <c r="AY321" s="1">
        <v>0</v>
      </c>
      <c r="AZ321" s="1" t="s">
        <v>113</v>
      </c>
      <c r="BA321" s="1" t="s">
        <v>113</v>
      </c>
      <c r="BB321" s="1" t="s">
        <v>125</v>
      </c>
      <c r="BC321" s="1" t="s">
        <v>166</v>
      </c>
      <c r="BD321" s="1">
        <v>0</v>
      </c>
      <c r="BE321" s="1">
        <v>100</v>
      </c>
      <c r="BF321" s="1" t="s">
        <v>630</v>
      </c>
      <c r="BG321" s="1" t="s">
        <v>268</v>
      </c>
      <c r="BH321" s="1" t="s">
        <v>169</v>
      </c>
      <c r="BI321" s="1" t="s">
        <v>169</v>
      </c>
      <c r="BJ321" s="1" t="s">
        <v>208</v>
      </c>
      <c r="BK321" s="1">
        <v>90</v>
      </c>
      <c r="BL321" s="1" t="s">
        <v>294</v>
      </c>
      <c r="BM321" s="1" t="s">
        <v>386</v>
      </c>
      <c r="BN321" s="1" t="s">
        <v>143</v>
      </c>
      <c r="BO321" s="1">
        <v>3</v>
      </c>
      <c r="BP321" s="1" t="s">
        <v>115</v>
      </c>
      <c r="BQ321" s="1" t="s">
        <v>704</v>
      </c>
      <c r="BR321" s="1" t="s">
        <v>114</v>
      </c>
      <c r="BS321" s="1" t="s">
        <v>4011</v>
      </c>
      <c r="BT321" s="1" t="s">
        <v>131</v>
      </c>
      <c r="BU321" s="1" t="s">
        <v>132</v>
      </c>
      <c r="BV321" s="1" t="s">
        <v>4012</v>
      </c>
      <c r="BW321" s="1" t="s">
        <v>134</v>
      </c>
      <c r="BX321" s="1" t="s">
        <v>157</v>
      </c>
      <c r="BY321" s="1" t="s">
        <v>299</v>
      </c>
      <c r="BZ321" s="1" t="s">
        <v>157</v>
      </c>
      <c r="CA321" s="1">
        <v>432</v>
      </c>
      <c r="CB321" s="1" t="s">
        <v>176</v>
      </c>
      <c r="CC321" s="1" t="s">
        <v>177</v>
      </c>
      <c r="CF321" s="1" t="s">
        <v>4013</v>
      </c>
      <c r="CG321" s="1" t="s">
        <v>4014</v>
      </c>
      <c r="CH321" s="1" t="s">
        <v>4014</v>
      </c>
      <c r="CI321" s="1">
        <v>0</v>
      </c>
      <c r="CJ321" s="1" t="s">
        <v>4015</v>
      </c>
      <c r="CK321" s="1" t="s">
        <v>4016</v>
      </c>
      <c r="CL321" s="1">
        <v>0</v>
      </c>
      <c r="CM321" s="1">
        <v>0</v>
      </c>
      <c r="CN321" s="1">
        <v>0</v>
      </c>
      <c r="CO321" s="1">
        <v>0</v>
      </c>
      <c r="CP321" s="1">
        <v>0</v>
      </c>
      <c r="CQ321" s="1">
        <v>0</v>
      </c>
      <c r="CR321" s="1" t="s">
        <v>418</v>
      </c>
      <c r="CS321" s="1" t="s">
        <v>308</v>
      </c>
      <c r="CT321" s="1" t="s">
        <v>4017</v>
      </c>
      <c r="CW321" s="1" t="s">
        <v>4018</v>
      </c>
      <c r="CX321" s="1" t="s">
        <v>143</v>
      </c>
      <c r="CY321" s="1" t="s">
        <v>143</v>
      </c>
      <c r="CZ321" s="1" t="s">
        <v>144</v>
      </c>
      <c r="DA321" s="1" t="s">
        <v>145</v>
      </c>
    </row>
    <row r="322" spans="1:105" s="3" customFormat="1" ht="11.25" customHeight="1" x14ac:dyDescent="0.2">
      <c r="A322" s="1">
        <v>41</v>
      </c>
      <c r="B322" s="1" t="s">
        <v>4020</v>
      </c>
      <c r="C322" s="1" t="s">
        <v>4019</v>
      </c>
      <c r="D322" s="1">
        <v>5267</v>
      </c>
      <c r="E322" s="2" t="s">
        <v>4201</v>
      </c>
      <c r="F322" s="1" t="s">
        <v>113</v>
      </c>
      <c r="G322" s="1" t="s">
        <v>190</v>
      </c>
      <c r="H322" s="1" t="s">
        <v>332</v>
      </c>
      <c r="I322" s="1" t="s">
        <v>229</v>
      </c>
      <c r="J322" s="1" t="s">
        <v>229</v>
      </c>
      <c r="L322" s="1" t="s">
        <v>111</v>
      </c>
      <c r="M322" s="1" t="s">
        <v>191</v>
      </c>
      <c r="N322" s="1" t="s">
        <v>112</v>
      </c>
      <c r="O322" s="1" t="s">
        <v>113</v>
      </c>
      <c r="P322" s="1" t="s">
        <v>113</v>
      </c>
      <c r="Q322" s="1" t="s">
        <v>195</v>
      </c>
      <c r="R322" s="5" t="s">
        <v>4021</v>
      </c>
      <c r="S322" s="1" t="s">
        <v>1034</v>
      </c>
      <c r="T322" s="1" t="s">
        <v>106</v>
      </c>
      <c r="U322" s="1" t="s">
        <v>4022</v>
      </c>
      <c r="V322" s="1" t="s">
        <v>4023</v>
      </c>
      <c r="W322" s="1" t="s">
        <v>199</v>
      </c>
      <c r="X322" s="1" t="s">
        <v>106</v>
      </c>
      <c r="Y322" s="5" t="s">
        <v>4021</v>
      </c>
      <c r="Z322" s="1">
        <v>100</v>
      </c>
      <c r="AA322" s="1" t="s">
        <v>116</v>
      </c>
      <c r="AB322" s="1" t="s">
        <v>128</v>
      </c>
      <c r="AC322" s="1" t="s">
        <v>118</v>
      </c>
      <c r="AD322" s="1">
        <v>50</v>
      </c>
      <c r="AE322" s="1" t="s">
        <v>116</v>
      </c>
      <c r="AF322" s="1">
        <v>2100</v>
      </c>
      <c r="AG322" s="1" t="s">
        <v>106</v>
      </c>
      <c r="AH322" s="1">
        <v>90</v>
      </c>
      <c r="AI322" s="1">
        <v>20</v>
      </c>
      <c r="AJ322" s="1">
        <v>30</v>
      </c>
      <c r="AK322" s="1" t="s">
        <v>232</v>
      </c>
      <c r="AL322" s="1">
        <v>300</v>
      </c>
      <c r="AM322" s="1" t="s">
        <v>120</v>
      </c>
      <c r="AN322" s="1">
        <v>150</v>
      </c>
      <c r="AO322" s="1" t="s">
        <v>113</v>
      </c>
      <c r="AP322" s="1" t="s">
        <v>106</v>
      </c>
      <c r="AQ322" s="1">
        <v>342045</v>
      </c>
      <c r="AR322" s="1" t="s">
        <v>4024</v>
      </c>
      <c r="AS322" s="1" t="s">
        <v>4025</v>
      </c>
      <c r="AT322" s="1" t="s">
        <v>123</v>
      </c>
      <c r="AU322" s="1" t="s">
        <v>106</v>
      </c>
      <c r="AV322" s="1" t="s">
        <v>113</v>
      </c>
      <c r="AW322" s="1" t="s">
        <v>124</v>
      </c>
      <c r="AX322" s="1" t="s">
        <v>165</v>
      </c>
      <c r="AY322" s="1">
        <v>50</v>
      </c>
      <c r="AZ322" s="1" t="s">
        <v>113</v>
      </c>
      <c r="BA322" s="1" t="s">
        <v>113</v>
      </c>
      <c r="BB322" s="1" t="s">
        <v>125</v>
      </c>
      <c r="BC322" s="1" t="s">
        <v>166</v>
      </c>
      <c r="BD322" s="5" t="s">
        <v>220</v>
      </c>
      <c r="BE322" s="1">
        <v>100</v>
      </c>
      <c r="BF322" s="1" t="s">
        <v>167</v>
      </c>
      <c r="BG322" s="1" t="s">
        <v>268</v>
      </c>
      <c r="BH322" s="1" t="s">
        <v>169</v>
      </c>
      <c r="BI322" s="1" t="s">
        <v>169</v>
      </c>
      <c r="BJ322" s="1" t="s">
        <v>208</v>
      </c>
      <c r="BK322" s="1">
        <v>50</v>
      </c>
      <c r="BL322" s="1" t="s">
        <v>270</v>
      </c>
      <c r="BM322" s="1" t="s">
        <v>271</v>
      </c>
      <c r="BN322" s="1">
        <v>5</v>
      </c>
      <c r="BO322" s="1">
        <v>0</v>
      </c>
      <c r="BP322" s="1" t="s">
        <v>115</v>
      </c>
      <c r="BQ322" s="1" t="s">
        <v>3832</v>
      </c>
      <c r="BR322" s="1" t="s">
        <v>4026</v>
      </c>
      <c r="BS322" s="1" t="s">
        <v>4027</v>
      </c>
      <c r="BT322" s="1" t="s">
        <v>131</v>
      </c>
      <c r="BU322" s="1" t="s">
        <v>132</v>
      </c>
      <c r="BV322" s="1" t="s">
        <v>174</v>
      </c>
      <c r="BW322" s="1" t="s">
        <v>134</v>
      </c>
      <c r="BX322" s="1" t="s">
        <v>4028</v>
      </c>
      <c r="BY322" s="1" t="s">
        <v>135</v>
      </c>
      <c r="BZ322" s="1" t="s">
        <v>127</v>
      </c>
      <c r="CA322" s="1">
        <v>2000</v>
      </c>
      <c r="CB322" s="1" t="s">
        <v>137</v>
      </c>
      <c r="CC322" s="1" t="s">
        <v>138</v>
      </c>
      <c r="CE322" s="1" t="s">
        <v>179</v>
      </c>
      <c r="CF322" s="5" t="s">
        <v>220</v>
      </c>
      <c r="CG322" s="1">
        <v>320000</v>
      </c>
      <c r="CH322" s="1">
        <v>60</v>
      </c>
      <c r="CI322" s="1">
        <v>35</v>
      </c>
      <c r="CJ322" s="1">
        <v>57</v>
      </c>
      <c r="CK322" s="1">
        <v>20</v>
      </c>
      <c r="CL322" s="1">
        <v>15</v>
      </c>
      <c r="CM322" s="1">
        <v>15</v>
      </c>
      <c r="CN322" s="5" t="s">
        <v>220</v>
      </c>
      <c r="CO322" s="5" t="s">
        <v>220</v>
      </c>
      <c r="CP322" s="5" t="s">
        <v>220</v>
      </c>
      <c r="CQ322" s="5" t="s">
        <v>220</v>
      </c>
      <c r="CR322" s="1" t="s">
        <v>180</v>
      </c>
      <c r="CS322" s="1" t="s">
        <v>308</v>
      </c>
      <c r="CT322" s="1" t="s">
        <v>4029</v>
      </c>
      <c r="CW322" s="1" t="s">
        <v>184</v>
      </c>
      <c r="CX322" s="1" t="s">
        <v>4030</v>
      </c>
      <c r="CY322" s="1" t="s">
        <v>143</v>
      </c>
    </row>
    <row r="323" spans="1:105" s="3" customFormat="1" ht="11.25" customHeight="1" x14ac:dyDescent="0.2">
      <c r="A323" s="1">
        <v>41</v>
      </c>
      <c r="B323" s="1" t="s">
        <v>4032</v>
      </c>
      <c r="C323" s="1" t="s">
        <v>4031</v>
      </c>
      <c r="D323" s="1">
        <v>15636</v>
      </c>
      <c r="E323" s="2" t="s">
        <v>4201</v>
      </c>
      <c r="F323" s="1" t="s">
        <v>106</v>
      </c>
      <c r="G323" s="1" t="s">
        <v>826</v>
      </c>
      <c r="H323" s="1" t="s">
        <v>827</v>
      </c>
      <c r="I323" s="1" t="s">
        <v>3008</v>
      </c>
      <c r="J323" s="1" t="s">
        <v>113</v>
      </c>
      <c r="K323" s="1" t="s">
        <v>4033</v>
      </c>
      <c r="L323" s="1" t="s">
        <v>111</v>
      </c>
      <c r="M323" s="1" t="s">
        <v>705</v>
      </c>
      <c r="N323" s="1" t="s">
        <v>112</v>
      </c>
      <c r="O323" s="1" t="s">
        <v>113</v>
      </c>
      <c r="P323" s="1" t="s">
        <v>113</v>
      </c>
      <c r="Q323" s="1" t="s">
        <v>152</v>
      </c>
      <c r="R323" s="7" t="s">
        <v>4034</v>
      </c>
      <c r="S323" s="7" t="s">
        <v>4034</v>
      </c>
      <c r="T323" s="1" t="s">
        <v>106</v>
      </c>
      <c r="U323" s="1" t="s">
        <v>4035</v>
      </c>
      <c r="V323" s="1" t="s">
        <v>3619</v>
      </c>
      <c r="W323" s="1" t="s">
        <v>115</v>
      </c>
      <c r="X323" s="1" t="s">
        <v>113</v>
      </c>
      <c r="Y323" s="1" t="s">
        <v>157</v>
      </c>
      <c r="Z323" s="1">
        <v>60</v>
      </c>
      <c r="AA323" s="1" t="s">
        <v>116</v>
      </c>
      <c r="AB323" s="1" t="s">
        <v>128</v>
      </c>
      <c r="AC323" s="1" t="s">
        <v>118</v>
      </c>
      <c r="AD323" s="1">
        <v>30</v>
      </c>
      <c r="AE323" s="1" t="s">
        <v>116</v>
      </c>
      <c r="AF323" s="1">
        <v>1500</v>
      </c>
      <c r="AG323" s="1" t="s">
        <v>106</v>
      </c>
      <c r="AH323" s="1">
        <v>90</v>
      </c>
      <c r="AI323" s="1">
        <v>10</v>
      </c>
      <c r="AJ323" s="1">
        <v>90</v>
      </c>
      <c r="AK323" s="1" t="s">
        <v>232</v>
      </c>
      <c r="AL323" s="1">
        <v>10</v>
      </c>
      <c r="AM323" s="1" t="s">
        <v>1683</v>
      </c>
      <c r="AN323" s="1">
        <v>100</v>
      </c>
      <c r="AO323" s="1" t="s">
        <v>113</v>
      </c>
      <c r="AP323" s="1" t="s">
        <v>113</v>
      </c>
      <c r="AQ323" s="1" t="s">
        <v>127</v>
      </c>
      <c r="AR323" s="1" t="s">
        <v>1683</v>
      </c>
      <c r="AS323" s="1" t="s">
        <v>1683</v>
      </c>
      <c r="AT323" s="1" t="s">
        <v>123</v>
      </c>
      <c r="AU323" s="1" t="s">
        <v>106</v>
      </c>
      <c r="AV323" s="1" t="s">
        <v>106</v>
      </c>
      <c r="AW323" s="1" t="s">
        <v>1568</v>
      </c>
      <c r="AX323" s="1" t="s">
        <v>165</v>
      </c>
      <c r="AY323" s="1">
        <v>100</v>
      </c>
      <c r="AZ323" s="1" t="s">
        <v>106</v>
      </c>
      <c r="BA323" s="1" t="s">
        <v>113</v>
      </c>
      <c r="BB323" s="1" t="s">
        <v>125</v>
      </c>
      <c r="BC323" s="1" t="s">
        <v>166</v>
      </c>
      <c r="BD323" s="1">
        <v>1500</v>
      </c>
      <c r="BE323" s="1">
        <v>30</v>
      </c>
      <c r="BF323" s="1" t="s">
        <v>167</v>
      </c>
      <c r="BG323" s="1" t="s">
        <v>4036</v>
      </c>
      <c r="BH323" s="1" t="s">
        <v>207</v>
      </c>
      <c r="BI323" s="1" t="s">
        <v>207</v>
      </c>
      <c r="BJ323" s="1" t="s">
        <v>128</v>
      </c>
      <c r="BK323" s="1">
        <v>0</v>
      </c>
      <c r="BL323" s="1" t="s">
        <v>127</v>
      </c>
      <c r="BM323" s="1" t="s">
        <v>114</v>
      </c>
      <c r="BN323" s="1" t="s">
        <v>143</v>
      </c>
      <c r="BO323" s="1" t="s">
        <v>143</v>
      </c>
      <c r="BP323" s="1" t="s">
        <v>947</v>
      </c>
      <c r="BQ323" s="1" t="s">
        <v>4037</v>
      </c>
      <c r="BR323" s="1" t="s">
        <v>4038</v>
      </c>
      <c r="BS323" s="1" t="s">
        <v>4039</v>
      </c>
      <c r="BT323" s="1" t="s">
        <v>535</v>
      </c>
      <c r="BU323" s="1" t="s">
        <v>132</v>
      </c>
      <c r="BV323" s="1" t="s">
        <v>1325</v>
      </c>
      <c r="BW323" s="1" t="s">
        <v>134</v>
      </c>
      <c r="BX323" s="1" t="s">
        <v>325</v>
      </c>
      <c r="BY323" s="1" t="s">
        <v>135</v>
      </c>
      <c r="BZ323" s="1" t="s">
        <v>157</v>
      </c>
      <c r="CA323" s="1">
        <v>1500</v>
      </c>
      <c r="CB323" s="1" t="s">
        <v>176</v>
      </c>
      <c r="CC323" s="1" t="s">
        <v>217</v>
      </c>
      <c r="CD323" s="1" t="s">
        <v>4040</v>
      </c>
      <c r="CE323" s="1" t="s">
        <v>458</v>
      </c>
      <c r="CF323" s="6">
        <v>488058.43</v>
      </c>
      <c r="CG323" s="6">
        <v>41285.86</v>
      </c>
      <c r="CH323" s="1">
        <v>1500</v>
      </c>
      <c r="CI323" s="1">
        <v>27.52</v>
      </c>
      <c r="CJ323" s="6">
        <v>465709.92</v>
      </c>
      <c r="CK323" s="1">
        <v>0</v>
      </c>
      <c r="CL323" s="1">
        <v>0</v>
      </c>
      <c r="CM323" s="1">
        <v>0</v>
      </c>
      <c r="CN323" s="1">
        <v>1500</v>
      </c>
      <c r="CO323" s="1">
        <v>1500</v>
      </c>
      <c r="CP323" s="1">
        <v>0</v>
      </c>
      <c r="CQ323" s="1">
        <v>0</v>
      </c>
      <c r="CR323" s="1" t="s">
        <v>139</v>
      </c>
      <c r="CS323" s="1" t="s">
        <v>140</v>
      </c>
      <c r="CT323" s="1" t="s">
        <v>4041</v>
      </c>
      <c r="CV323" s="1" t="s">
        <v>4042</v>
      </c>
      <c r="CW323" s="1" t="s">
        <v>251</v>
      </c>
      <c r="CX323" s="1" t="s">
        <v>157</v>
      </c>
      <c r="CY323" s="1" t="s">
        <v>276</v>
      </c>
      <c r="CZ323" s="1" t="s">
        <v>144</v>
      </c>
      <c r="DA323" s="1" t="s">
        <v>145</v>
      </c>
    </row>
    <row r="324" spans="1:105" s="3" customFormat="1" ht="11.25" customHeight="1" x14ac:dyDescent="0.2">
      <c r="A324" s="1">
        <v>41</v>
      </c>
      <c r="B324" s="1" t="s">
        <v>4044</v>
      </c>
      <c r="C324" s="1" t="s">
        <v>4043</v>
      </c>
      <c r="D324" s="1">
        <v>3386</v>
      </c>
      <c r="E324" s="2" t="s">
        <v>4201</v>
      </c>
      <c r="F324" s="1" t="s">
        <v>113</v>
      </c>
      <c r="G324" s="1" t="s">
        <v>190</v>
      </c>
      <c r="H324" s="1" t="s">
        <v>157</v>
      </c>
      <c r="I324" s="1" t="s">
        <v>229</v>
      </c>
      <c r="J324" s="1" t="s">
        <v>229</v>
      </c>
      <c r="K324" s="1" t="s">
        <v>114</v>
      </c>
      <c r="L324" s="1" t="s">
        <v>149</v>
      </c>
      <c r="M324" s="1" t="s">
        <v>4045</v>
      </c>
      <c r="N324" s="1" t="s">
        <v>4046</v>
      </c>
      <c r="O324" s="1" t="s">
        <v>113</v>
      </c>
      <c r="P324" s="1" t="s">
        <v>113</v>
      </c>
      <c r="Q324" s="1" t="s">
        <v>195</v>
      </c>
      <c r="R324" s="1" t="s">
        <v>4045</v>
      </c>
      <c r="S324" s="1" t="s">
        <v>149</v>
      </c>
      <c r="T324" s="1" t="s">
        <v>106</v>
      </c>
      <c r="U324" s="1" t="s">
        <v>4045</v>
      </c>
      <c r="V324" s="1" t="s">
        <v>4047</v>
      </c>
      <c r="W324" s="1" t="s">
        <v>115</v>
      </c>
      <c r="X324" s="1" t="s">
        <v>113</v>
      </c>
      <c r="Y324" s="1" t="s">
        <v>114</v>
      </c>
      <c r="Z324" s="1">
        <v>100</v>
      </c>
      <c r="AA324" s="1" t="s">
        <v>4048</v>
      </c>
      <c r="AB324" s="1" t="s">
        <v>128</v>
      </c>
      <c r="AC324" s="1" t="s">
        <v>118</v>
      </c>
      <c r="AD324" s="1">
        <v>40</v>
      </c>
      <c r="AE324" s="1" t="s">
        <v>116</v>
      </c>
      <c r="AF324" s="4">
        <v>547200</v>
      </c>
      <c r="AG324" s="1" t="s">
        <v>113</v>
      </c>
      <c r="AH324" s="1">
        <v>90</v>
      </c>
      <c r="AI324" s="1">
        <v>0</v>
      </c>
      <c r="AJ324" s="1">
        <v>0</v>
      </c>
      <c r="AK324" s="1" t="s">
        <v>200</v>
      </c>
      <c r="AL324" s="1">
        <v>192</v>
      </c>
      <c r="AM324" s="1" t="s">
        <v>4049</v>
      </c>
      <c r="AN324" s="1">
        <v>0</v>
      </c>
      <c r="AO324" s="1" t="s">
        <v>113</v>
      </c>
      <c r="AP324" s="1" t="s">
        <v>113</v>
      </c>
      <c r="AQ324" s="1" t="s">
        <v>157</v>
      </c>
      <c r="AR324" s="1" t="s">
        <v>157</v>
      </c>
      <c r="AS324" s="1" t="s">
        <v>157</v>
      </c>
      <c r="AT324" s="1" t="s">
        <v>123</v>
      </c>
      <c r="AU324" s="1" t="s">
        <v>106</v>
      </c>
      <c r="AV324" s="1" t="s">
        <v>113</v>
      </c>
      <c r="AW324" s="1" t="s">
        <v>164</v>
      </c>
      <c r="AX324" s="1" t="s">
        <v>165</v>
      </c>
      <c r="AY324" s="1">
        <v>115</v>
      </c>
      <c r="AZ324" s="1" t="s">
        <v>113</v>
      </c>
      <c r="BA324" s="1" t="s">
        <v>113</v>
      </c>
      <c r="BB324" s="1" t="s">
        <v>125</v>
      </c>
      <c r="BC324" s="1" t="s">
        <v>166</v>
      </c>
      <c r="BD324" s="1">
        <v>0</v>
      </c>
      <c r="BE324" s="1">
        <v>100</v>
      </c>
      <c r="BF324" s="1" t="s">
        <v>167</v>
      </c>
      <c r="BG324" s="1" t="s">
        <v>4050</v>
      </c>
      <c r="BH324" s="1" t="s">
        <v>168</v>
      </c>
      <c r="BI324" s="1" t="s">
        <v>168</v>
      </c>
      <c r="BJ324" s="1" t="s">
        <v>128</v>
      </c>
      <c r="BK324" s="1">
        <v>0</v>
      </c>
      <c r="BL324" s="1" t="s">
        <v>127</v>
      </c>
      <c r="BM324" s="1" t="s">
        <v>114</v>
      </c>
      <c r="BN324" s="1" t="s">
        <v>276</v>
      </c>
      <c r="BO324" s="1">
        <v>0</v>
      </c>
      <c r="BP324" s="1" t="s">
        <v>115</v>
      </c>
      <c r="BQ324" s="1" t="s">
        <v>4051</v>
      </c>
      <c r="BR324" s="1" t="s">
        <v>4052</v>
      </c>
      <c r="BS324" s="1" t="s">
        <v>4053</v>
      </c>
      <c r="BT324" s="1" t="s">
        <v>172</v>
      </c>
      <c r="BU324" s="1" t="s">
        <v>132</v>
      </c>
      <c r="BV324" s="1" t="s">
        <v>4054</v>
      </c>
      <c r="BW324" s="1" t="s">
        <v>134</v>
      </c>
      <c r="BX324" s="1" t="s">
        <v>157</v>
      </c>
      <c r="BY324" s="1" t="s">
        <v>135</v>
      </c>
      <c r="BZ324" s="1" t="s">
        <v>4055</v>
      </c>
      <c r="CA324" s="4">
        <v>547200</v>
      </c>
      <c r="CB324" s="1" t="s">
        <v>244</v>
      </c>
      <c r="CC324" s="1" t="s">
        <v>4056</v>
      </c>
      <c r="CD324" s="1" t="s">
        <v>4057</v>
      </c>
      <c r="CE324" s="1" t="s">
        <v>478</v>
      </c>
      <c r="CF324" s="6">
        <v>125642.42</v>
      </c>
      <c r="CG324" s="6">
        <v>129153.8</v>
      </c>
      <c r="CH324" s="1">
        <v>167.81</v>
      </c>
      <c r="CI324" s="1">
        <v>0</v>
      </c>
      <c r="CJ324" s="1">
        <v>187.81</v>
      </c>
      <c r="CK324" s="1">
        <v>0</v>
      </c>
      <c r="CL324" s="1">
        <v>0</v>
      </c>
      <c r="CM324" s="1">
        <v>0</v>
      </c>
      <c r="CN324" s="1">
        <v>0</v>
      </c>
      <c r="CO324" s="1">
        <v>0</v>
      </c>
      <c r="CP324" s="1">
        <v>0</v>
      </c>
      <c r="CQ324" s="1">
        <v>0</v>
      </c>
      <c r="CR324" s="1" t="s">
        <v>4058</v>
      </c>
      <c r="CS324" s="1" t="s">
        <v>4059</v>
      </c>
      <c r="CT324" s="1" t="s">
        <v>4060</v>
      </c>
      <c r="CU324" s="1" t="s">
        <v>182</v>
      </c>
      <c r="CV324" s="1" t="s">
        <v>439</v>
      </c>
      <c r="CW324" s="1" t="s">
        <v>420</v>
      </c>
      <c r="CX324" s="1" t="s">
        <v>4061</v>
      </c>
      <c r="CY324" s="1" t="s">
        <v>276</v>
      </c>
      <c r="CZ324" s="1" t="s">
        <v>144</v>
      </c>
      <c r="DA324" s="1" t="s">
        <v>145</v>
      </c>
    </row>
    <row r="325" spans="1:105" s="3" customFormat="1" ht="11.25" customHeight="1" x14ac:dyDescent="0.2">
      <c r="A325" s="1">
        <v>41</v>
      </c>
      <c r="B325" s="1" t="s">
        <v>4063</v>
      </c>
      <c r="C325" s="1" t="s">
        <v>4062</v>
      </c>
      <c r="D325" s="1">
        <v>3375</v>
      </c>
      <c r="E325" s="2" t="s">
        <v>4201</v>
      </c>
      <c r="F325" s="1" t="s">
        <v>113</v>
      </c>
      <c r="G325" s="1" t="s">
        <v>190</v>
      </c>
      <c r="H325" s="1" t="s">
        <v>113</v>
      </c>
      <c r="I325" s="1" t="s">
        <v>229</v>
      </c>
      <c r="J325" s="1" t="s">
        <v>229</v>
      </c>
      <c r="K325" s="1" t="s">
        <v>695</v>
      </c>
      <c r="L325" s="1" t="s">
        <v>111</v>
      </c>
      <c r="M325" s="1" t="s">
        <v>111</v>
      </c>
      <c r="N325" s="1" t="s">
        <v>112</v>
      </c>
      <c r="O325" s="1" t="s">
        <v>113</v>
      </c>
      <c r="P325" s="1" t="s">
        <v>113</v>
      </c>
      <c r="Q325" s="1" t="s">
        <v>195</v>
      </c>
      <c r="R325" s="1" t="s">
        <v>4064</v>
      </c>
      <c r="S325" s="1" t="s">
        <v>114</v>
      </c>
      <c r="T325" s="1" t="s">
        <v>113</v>
      </c>
      <c r="U325" s="1" t="s">
        <v>114</v>
      </c>
      <c r="W325" s="1" t="s">
        <v>115</v>
      </c>
      <c r="X325" s="1" t="s">
        <v>113</v>
      </c>
      <c r="Y325" s="1" t="s">
        <v>114</v>
      </c>
      <c r="Z325" s="1">
        <v>100</v>
      </c>
      <c r="AA325" s="1" t="s">
        <v>132</v>
      </c>
      <c r="AB325" s="1" t="s">
        <v>128</v>
      </c>
      <c r="AC325" s="1" t="s">
        <v>128</v>
      </c>
      <c r="AD325" s="1">
        <v>0</v>
      </c>
      <c r="AE325" s="1" t="s">
        <v>157</v>
      </c>
      <c r="AF325" s="1">
        <v>588</v>
      </c>
      <c r="AG325" s="1" t="s">
        <v>113</v>
      </c>
      <c r="AH325" s="1">
        <v>0</v>
      </c>
      <c r="AI325" s="1">
        <v>0</v>
      </c>
      <c r="AJ325" s="1">
        <v>0</v>
      </c>
      <c r="AK325" s="1" t="s">
        <v>408</v>
      </c>
      <c r="AL325" s="1">
        <v>48</v>
      </c>
      <c r="AM325" s="1" t="s">
        <v>4065</v>
      </c>
      <c r="AN325" s="1">
        <v>48</v>
      </c>
      <c r="AO325" s="1" t="s">
        <v>113</v>
      </c>
      <c r="AP325" s="1" t="s">
        <v>113</v>
      </c>
      <c r="AQ325" s="1" t="s">
        <v>114</v>
      </c>
      <c r="AR325" s="1" t="s">
        <v>114</v>
      </c>
      <c r="AS325" s="1" t="s">
        <v>114</v>
      </c>
      <c r="AU325" s="1" t="s">
        <v>113</v>
      </c>
      <c r="AV325" s="1" t="s">
        <v>113</v>
      </c>
      <c r="AW325" s="1" t="s">
        <v>164</v>
      </c>
      <c r="AY325" s="1">
        <v>0</v>
      </c>
      <c r="AZ325" s="1" t="s">
        <v>113</v>
      </c>
      <c r="BA325" s="1" t="s">
        <v>113</v>
      </c>
      <c r="BB325" s="1" t="s">
        <v>125</v>
      </c>
      <c r="BD325" s="1">
        <v>0</v>
      </c>
      <c r="BE325" s="1">
        <v>100</v>
      </c>
      <c r="BF325" s="1" t="s">
        <v>167</v>
      </c>
      <c r="BG325" s="1" t="s">
        <v>116</v>
      </c>
      <c r="BH325" s="1" t="s">
        <v>207</v>
      </c>
      <c r="BI325" s="1" t="s">
        <v>207</v>
      </c>
      <c r="BJ325" s="1" t="s">
        <v>128</v>
      </c>
      <c r="BK325" s="1">
        <v>0</v>
      </c>
      <c r="BL325" s="1" t="s">
        <v>127</v>
      </c>
      <c r="BM325" s="1" t="s">
        <v>114</v>
      </c>
      <c r="BN325" s="1">
        <v>4</v>
      </c>
      <c r="BP325" s="1" t="s">
        <v>947</v>
      </c>
      <c r="BQ325" s="1" t="s">
        <v>587</v>
      </c>
      <c r="BR325" s="1" t="s">
        <v>4066</v>
      </c>
      <c r="BS325" s="1" t="s">
        <v>4067</v>
      </c>
      <c r="BT325" s="1" t="s">
        <v>172</v>
      </c>
      <c r="BU325" s="1" t="s">
        <v>132</v>
      </c>
      <c r="BV325" s="1" t="s">
        <v>4068</v>
      </c>
      <c r="BW325" s="1" t="s">
        <v>134</v>
      </c>
      <c r="BX325" s="1" t="s">
        <v>135</v>
      </c>
      <c r="BY325" s="1" t="s">
        <v>135</v>
      </c>
      <c r="BZ325" s="1" t="s">
        <v>114</v>
      </c>
      <c r="CA325" s="1">
        <v>588</v>
      </c>
      <c r="CB325" s="1" t="s">
        <v>176</v>
      </c>
      <c r="CC325" s="1" t="s">
        <v>177</v>
      </c>
      <c r="CE325" s="1" t="s">
        <v>179</v>
      </c>
      <c r="CF325" s="1">
        <v>225502.86</v>
      </c>
      <c r="CG325" s="1">
        <v>446331.12</v>
      </c>
      <c r="CH325" s="1">
        <v>0</v>
      </c>
      <c r="CI325" s="1">
        <v>0</v>
      </c>
      <c r="CJ325" s="1">
        <v>0</v>
      </c>
      <c r="CK325" s="1">
        <v>0</v>
      </c>
      <c r="CL325" s="1">
        <v>0</v>
      </c>
      <c r="CM325" s="1">
        <v>0</v>
      </c>
      <c r="CN325" s="1">
        <v>0</v>
      </c>
      <c r="CO325" s="1">
        <v>0</v>
      </c>
      <c r="CP325" s="1">
        <v>0</v>
      </c>
      <c r="CQ325" s="1">
        <v>0</v>
      </c>
      <c r="CR325" s="1" t="s">
        <v>139</v>
      </c>
      <c r="CS325" s="1" t="s">
        <v>327</v>
      </c>
      <c r="CT325" s="1" t="s">
        <v>223</v>
      </c>
      <c r="CW325" s="1" t="s">
        <v>284</v>
      </c>
      <c r="CX325" s="1">
        <v>0</v>
      </c>
      <c r="CY325" s="1" t="s">
        <v>276</v>
      </c>
      <c r="CZ325" s="1" t="s">
        <v>144</v>
      </c>
      <c r="DA325" s="1" t="s">
        <v>145</v>
      </c>
    </row>
    <row r="326" spans="1:105" s="3" customFormat="1" ht="11.25" customHeight="1" x14ac:dyDescent="0.2">
      <c r="A326" s="1">
        <v>41</v>
      </c>
      <c r="B326" s="1" t="s">
        <v>4069</v>
      </c>
      <c r="C326" s="1" t="s">
        <v>4070</v>
      </c>
      <c r="D326" s="1">
        <v>26145</v>
      </c>
      <c r="E326" s="2" t="s">
        <v>1688</v>
      </c>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M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row>
    <row r="327" spans="1:105" s="3" customFormat="1" ht="11.25" customHeight="1" x14ac:dyDescent="0.2">
      <c r="A327" s="1">
        <v>41</v>
      </c>
      <c r="B327" s="1" t="s">
        <v>4072</v>
      </c>
      <c r="C327" s="1" t="s">
        <v>4071</v>
      </c>
      <c r="D327" s="1">
        <v>8806</v>
      </c>
      <c r="E327" s="2" t="s">
        <v>4201</v>
      </c>
      <c r="F327" s="1" t="s">
        <v>106</v>
      </c>
      <c r="G327" s="1" t="s">
        <v>2224</v>
      </c>
      <c r="H327" s="1" t="s">
        <v>4073</v>
      </c>
      <c r="I327" s="1" t="s">
        <v>3008</v>
      </c>
      <c r="J327" s="1" t="s">
        <v>113</v>
      </c>
      <c r="K327" s="1" t="s">
        <v>373</v>
      </c>
      <c r="L327" s="1" t="s">
        <v>111</v>
      </c>
      <c r="M327" s="1" t="s">
        <v>191</v>
      </c>
      <c r="N327" s="1" t="s">
        <v>112</v>
      </c>
      <c r="O327" s="1" t="s">
        <v>106</v>
      </c>
      <c r="P327" s="1" t="s">
        <v>113</v>
      </c>
      <c r="Q327" s="1" t="s">
        <v>195</v>
      </c>
      <c r="R327" s="1" t="s">
        <v>4074</v>
      </c>
      <c r="S327" s="1" t="s">
        <v>1683</v>
      </c>
      <c r="T327" s="1" t="s">
        <v>106</v>
      </c>
      <c r="U327" s="1" t="s">
        <v>4075</v>
      </c>
      <c r="V327" s="1" t="s">
        <v>4076</v>
      </c>
      <c r="W327" s="1" t="s">
        <v>115</v>
      </c>
      <c r="X327" s="1" t="s">
        <v>113</v>
      </c>
      <c r="Y327" s="1" t="s">
        <v>1683</v>
      </c>
      <c r="Z327" s="1">
        <v>100</v>
      </c>
      <c r="AA327" s="1" t="s">
        <v>116</v>
      </c>
      <c r="AB327" s="1" t="s">
        <v>128</v>
      </c>
      <c r="AC327" s="1" t="s">
        <v>384</v>
      </c>
      <c r="AD327" s="1">
        <v>100</v>
      </c>
      <c r="AE327" s="1" t="s">
        <v>116</v>
      </c>
      <c r="AF327" s="1">
        <v>1925</v>
      </c>
      <c r="AG327" s="1" t="s">
        <v>106</v>
      </c>
      <c r="AH327" s="1">
        <v>47</v>
      </c>
      <c r="AI327" s="1">
        <v>33</v>
      </c>
      <c r="AJ327" s="1">
        <v>20</v>
      </c>
      <c r="AK327" s="1" t="s">
        <v>200</v>
      </c>
      <c r="AL327" s="1">
        <v>420</v>
      </c>
      <c r="AM327" s="1" t="s">
        <v>4077</v>
      </c>
      <c r="AN327" s="1">
        <v>0</v>
      </c>
      <c r="AO327" s="1" t="s">
        <v>113</v>
      </c>
      <c r="AP327" s="1" t="s">
        <v>113</v>
      </c>
      <c r="AQ327" s="1" t="s">
        <v>1683</v>
      </c>
      <c r="AR327" s="1" t="s">
        <v>1683</v>
      </c>
      <c r="AS327" s="1" t="s">
        <v>1683</v>
      </c>
      <c r="AT327" s="1" t="s">
        <v>1541</v>
      </c>
      <c r="AU327" s="1" t="s">
        <v>113</v>
      </c>
      <c r="AV327" s="1" t="s">
        <v>113</v>
      </c>
      <c r="AW327" s="1" t="s">
        <v>234</v>
      </c>
      <c r="AX327" s="1" t="s">
        <v>946</v>
      </c>
      <c r="AY327" s="1">
        <v>540</v>
      </c>
      <c r="AZ327" s="1" t="s">
        <v>113</v>
      </c>
      <c r="BA327" s="1" t="s">
        <v>113</v>
      </c>
      <c r="BB327" s="1" t="s">
        <v>125</v>
      </c>
      <c r="BC327" s="1" t="s">
        <v>166</v>
      </c>
      <c r="BD327" s="1">
        <v>0</v>
      </c>
      <c r="BE327" s="1">
        <v>100</v>
      </c>
      <c r="BF327" s="1" t="s">
        <v>167</v>
      </c>
      <c r="BG327" s="1" t="s">
        <v>268</v>
      </c>
      <c r="BH327" s="1" t="s">
        <v>269</v>
      </c>
      <c r="BI327" s="1" t="s">
        <v>269</v>
      </c>
      <c r="BJ327" s="1" t="s">
        <v>384</v>
      </c>
      <c r="BK327" s="1">
        <v>100</v>
      </c>
      <c r="BL327" s="1" t="s">
        <v>167</v>
      </c>
      <c r="BM327" s="1" t="s">
        <v>271</v>
      </c>
      <c r="BN327" s="1">
        <v>1</v>
      </c>
      <c r="BO327" s="1">
        <v>4</v>
      </c>
      <c r="BP327" s="1" t="s">
        <v>124</v>
      </c>
      <c r="BQ327" s="1" t="s">
        <v>4078</v>
      </c>
      <c r="BR327" s="1" t="s">
        <v>4079</v>
      </c>
      <c r="BS327" s="1" t="s">
        <v>4080</v>
      </c>
      <c r="BT327" s="1" t="s">
        <v>172</v>
      </c>
      <c r="BU327" s="1" t="s">
        <v>239</v>
      </c>
      <c r="BV327" s="1" t="s">
        <v>4081</v>
      </c>
      <c r="BW327" s="1" t="s">
        <v>134</v>
      </c>
      <c r="BX327" s="1" t="s">
        <v>1683</v>
      </c>
      <c r="BY327" s="1" t="s">
        <v>135</v>
      </c>
      <c r="BZ327" s="1" t="s">
        <v>4082</v>
      </c>
      <c r="CA327" s="1">
        <v>1925</v>
      </c>
      <c r="CB327" s="1" t="s">
        <v>244</v>
      </c>
      <c r="CC327" s="1" t="s">
        <v>217</v>
      </c>
      <c r="CD327" s="1" t="s">
        <v>4083</v>
      </c>
      <c r="CE327" s="1" t="s">
        <v>219</v>
      </c>
      <c r="CF327" s="1">
        <v>398687.94</v>
      </c>
      <c r="CG327" s="1">
        <v>503153.58</v>
      </c>
      <c r="CH327" s="1">
        <v>2.0099999999999998</v>
      </c>
      <c r="CI327" s="1">
        <v>0</v>
      </c>
      <c r="CJ327" s="1">
        <v>0</v>
      </c>
      <c r="CK327" s="1">
        <v>1.58</v>
      </c>
      <c r="CL327" s="1">
        <v>0</v>
      </c>
      <c r="CM327" s="1">
        <v>0</v>
      </c>
      <c r="CN327" s="1">
        <v>2</v>
      </c>
      <c r="CO327" s="1">
        <v>0</v>
      </c>
      <c r="CP327" s="1">
        <v>0</v>
      </c>
      <c r="CQ327" s="1">
        <v>0</v>
      </c>
      <c r="CR327" s="1" t="s">
        <v>180</v>
      </c>
      <c r="CS327" s="1" t="s">
        <v>848</v>
      </c>
      <c r="CT327" s="1" t="s">
        <v>282</v>
      </c>
      <c r="CU327" s="1" t="s">
        <v>2238</v>
      </c>
      <c r="CV327" s="1" t="s">
        <v>2239</v>
      </c>
      <c r="CW327" s="1" t="s">
        <v>141</v>
      </c>
      <c r="CX327" s="1" t="s">
        <v>4084</v>
      </c>
      <c r="CY327" s="1" t="s">
        <v>724</v>
      </c>
      <c r="CZ327" s="1" t="s">
        <v>144</v>
      </c>
      <c r="DA327" s="1" t="s">
        <v>145</v>
      </c>
    </row>
    <row r="328" spans="1:105" s="3" customFormat="1" ht="11.25" customHeight="1" x14ac:dyDescent="0.2">
      <c r="A328" s="1">
        <v>41</v>
      </c>
      <c r="B328" s="1" t="s">
        <v>4086</v>
      </c>
      <c r="C328" s="1" t="s">
        <v>4085</v>
      </c>
      <c r="D328" s="1">
        <v>11669</v>
      </c>
      <c r="E328" s="2" t="s">
        <v>4201</v>
      </c>
      <c r="F328" s="1" t="s">
        <v>113</v>
      </c>
      <c r="G328" s="1" t="s">
        <v>190</v>
      </c>
      <c r="H328" s="1" t="s">
        <v>3702</v>
      </c>
      <c r="I328" s="1" t="s">
        <v>193</v>
      </c>
      <c r="J328" s="1" t="s">
        <v>229</v>
      </c>
      <c r="K328" s="1" t="s">
        <v>3702</v>
      </c>
      <c r="L328" s="1" t="s">
        <v>111</v>
      </c>
      <c r="M328" s="1" t="s">
        <v>465</v>
      </c>
      <c r="N328" s="1" t="s">
        <v>4087</v>
      </c>
      <c r="O328" s="1" t="s">
        <v>113</v>
      </c>
      <c r="P328" s="1" t="s">
        <v>113</v>
      </c>
      <c r="Q328" s="1" t="s">
        <v>195</v>
      </c>
      <c r="R328" s="1" t="s">
        <v>4088</v>
      </c>
      <c r="S328" s="1" t="s">
        <v>114</v>
      </c>
      <c r="T328" s="1" t="s">
        <v>106</v>
      </c>
      <c r="U328" s="1" t="s">
        <v>4089</v>
      </c>
      <c r="V328" s="1" t="s">
        <v>4090</v>
      </c>
      <c r="W328" s="1" t="s">
        <v>115</v>
      </c>
      <c r="X328" s="1" t="s">
        <v>113</v>
      </c>
      <c r="Y328" s="1" t="s">
        <v>114</v>
      </c>
      <c r="Z328" s="1">
        <v>100</v>
      </c>
      <c r="AA328" s="1" t="s">
        <v>116</v>
      </c>
      <c r="AB328" s="1" t="s">
        <v>128</v>
      </c>
      <c r="AC328" s="1" t="s">
        <v>384</v>
      </c>
      <c r="AD328" s="1">
        <v>100</v>
      </c>
      <c r="AE328" s="1" t="s">
        <v>116</v>
      </c>
      <c r="AF328" s="1">
        <v>8256</v>
      </c>
      <c r="AG328" s="1" t="s">
        <v>113</v>
      </c>
      <c r="AH328" s="1">
        <v>0</v>
      </c>
      <c r="AI328" s="1">
        <v>0</v>
      </c>
      <c r="AJ328" s="1">
        <v>0</v>
      </c>
      <c r="AK328" s="1" t="s">
        <v>530</v>
      </c>
      <c r="AL328" s="1">
        <v>8000</v>
      </c>
      <c r="AM328" s="1" t="s">
        <v>131</v>
      </c>
      <c r="AN328" s="1">
        <v>0</v>
      </c>
      <c r="AO328" s="1" t="s">
        <v>113</v>
      </c>
      <c r="AP328" s="1" t="s">
        <v>106</v>
      </c>
      <c r="AQ328" s="1" t="s">
        <v>114</v>
      </c>
      <c r="AR328" s="1" t="s">
        <v>4091</v>
      </c>
      <c r="AS328" s="1" t="s">
        <v>4092</v>
      </c>
      <c r="AT328" s="1" t="s">
        <v>123</v>
      </c>
      <c r="AU328" s="1" t="s">
        <v>113</v>
      </c>
      <c r="AV328" s="1" t="s">
        <v>113</v>
      </c>
      <c r="AW328" s="1" t="s">
        <v>164</v>
      </c>
      <c r="AX328" s="1" t="s">
        <v>165</v>
      </c>
      <c r="AY328" s="1">
        <v>12</v>
      </c>
      <c r="AZ328" s="1" t="s">
        <v>113</v>
      </c>
      <c r="BA328" s="1" t="s">
        <v>113</v>
      </c>
      <c r="BB328" s="1" t="s">
        <v>125</v>
      </c>
      <c r="BC328" s="1" t="s">
        <v>166</v>
      </c>
      <c r="BD328" s="1">
        <v>0</v>
      </c>
      <c r="BE328" s="1">
        <v>100</v>
      </c>
      <c r="BF328" s="1" t="s">
        <v>167</v>
      </c>
      <c r="BG328" s="1" t="s">
        <v>268</v>
      </c>
      <c r="BH328" s="1" t="s">
        <v>269</v>
      </c>
      <c r="BI328" s="1" t="s">
        <v>269</v>
      </c>
      <c r="BJ328" s="1" t="s">
        <v>384</v>
      </c>
      <c r="BK328" s="1">
        <v>100</v>
      </c>
      <c r="BL328" s="1" t="s">
        <v>167</v>
      </c>
      <c r="BM328" s="1" t="s">
        <v>271</v>
      </c>
      <c r="BN328" s="1" t="s">
        <v>143</v>
      </c>
      <c r="BO328" s="1" t="s">
        <v>143</v>
      </c>
      <c r="BP328" s="1" t="s">
        <v>124</v>
      </c>
      <c r="BQ328" s="1" t="s">
        <v>3058</v>
      </c>
      <c r="BR328" s="1" t="s">
        <v>114</v>
      </c>
      <c r="BS328" s="1" t="s">
        <v>4093</v>
      </c>
      <c r="BT328" s="1" t="s">
        <v>172</v>
      </c>
      <c r="BU328" s="1" t="s">
        <v>239</v>
      </c>
      <c r="BV328" s="1" t="s">
        <v>4094</v>
      </c>
      <c r="BW328" s="1" t="s">
        <v>134</v>
      </c>
      <c r="BX328" s="1" t="s">
        <v>175</v>
      </c>
      <c r="BY328" s="1" t="s">
        <v>135</v>
      </c>
      <c r="BZ328" s="1" t="s">
        <v>114</v>
      </c>
      <c r="CA328" s="1">
        <v>82560</v>
      </c>
      <c r="CB328" s="1" t="s">
        <v>244</v>
      </c>
      <c r="CC328" s="1" t="s">
        <v>177</v>
      </c>
      <c r="CD328" s="1" t="s">
        <v>4095</v>
      </c>
      <c r="CE328" s="1" t="s">
        <v>219</v>
      </c>
      <c r="CF328" s="8">
        <v>956951.87</v>
      </c>
      <c r="CG328" s="8">
        <v>265127.98</v>
      </c>
      <c r="CH328" s="1" t="s">
        <v>4096</v>
      </c>
      <c r="CI328" s="1" t="s">
        <v>4096</v>
      </c>
      <c r="CJ328" s="1" t="s">
        <v>4096</v>
      </c>
      <c r="CK328" s="1">
        <v>10000</v>
      </c>
      <c r="CL328" s="1">
        <v>10000</v>
      </c>
      <c r="CM328" s="1">
        <v>0</v>
      </c>
      <c r="CN328" s="1">
        <v>0</v>
      </c>
      <c r="CO328" s="1">
        <v>0</v>
      </c>
      <c r="CP328" s="1">
        <v>0</v>
      </c>
      <c r="CQ328" s="1">
        <v>0</v>
      </c>
      <c r="CR328" s="1" t="s">
        <v>139</v>
      </c>
      <c r="CS328" s="1" t="s">
        <v>308</v>
      </c>
      <c r="CT328" s="1" t="s">
        <v>4097</v>
      </c>
      <c r="CV328" s="1" t="s">
        <v>4098</v>
      </c>
      <c r="CW328" s="1" t="s">
        <v>251</v>
      </c>
      <c r="CX328" s="1" t="s">
        <v>114</v>
      </c>
      <c r="CY328" s="1" t="s">
        <v>114</v>
      </c>
      <c r="CZ328" s="1" t="s">
        <v>144</v>
      </c>
      <c r="DA328" s="1" t="s">
        <v>145</v>
      </c>
    </row>
    <row r="329" spans="1:105" s="3" customFormat="1" ht="11.25" customHeight="1" x14ac:dyDescent="0.2">
      <c r="A329" s="3">
        <v>41</v>
      </c>
      <c r="B329" s="3" t="s">
        <v>4100</v>
      </c>
      <c r="C329" s="3" t="s">
        <v>4099</v>
      </c>
      <c r="D329" s="3">
        <v>26341</v>
      </c>
      <c r="E329" s="2" t="s">
        <v>4201</v>
      </c>
      <c r="F329" s="1" t="s">
        <v>106</v>
      </c>
      <c r="G329" s="1" t="s">
        <v>603</v>
      </c>
      <c r="H329" s="1" t="s">
        <v>3323</v>
      </c>
      <c r="I329" s="1" t="s">
        <v>4101</v>
      </c>
      <c r="J329" s="1" t="s">
        <v>113</v>
      </c>
      <c r="K329" s="1" t="s">
        <v>2786</v>
      </c>
      <c r="L329" s="1" t="s">
        <v>149</v>
      </c>
      <c r="M329" s="1" t="s">
        <v>4102</v>
      </c>
      <c r="N329" s="1" t="s">
        <v>403</v>
      </c>
      <c r="O329" s="1" t="s">
        <v>113</v>
      </c>
      <c r="P329" s="1" t="s">
        <v>113</v>
      </c>
      <c r="Q329" s="1" t="s">
        <v>195</v>
      </c>
      <c r="R329" s="1" t="s">
        <v>4103</v>
      </c>
      <c r="S329" s="1" t="s">
        <v>4104</v>
      </c>
      <c r="T329" s="1" t="s">
        <v>106</v>
      </c>
      <c r="U329" s="1" t="s">
        <v>4105</v>
      </c>
      <c r="V329" s="1" t="s">
        <v>3704</v>
      </c>
      <c r="W329" s="1" t="s">
        <v>199</v>
      </c>
      <c r="X329" s="1" t="s">
        <v>106</v>
      </c>
      <c r="Y329" s="1" t="s">
        <v>4106</v>
      </c>
      <c r="Z329" s="1">
        <v>100</v>
      </c>
      <c r="AA329" s="1" t="s">
        <v>132</v>
      </c>
      <c r="AB329" s="1" t="s">
        <v>128</v>
      </c>
      <c r="AC329" s="1" t="s">
        <v>118</v>
      </c>
      <c r="AD329" s="1">
        <v>70</v>
      </c>
      <c r="AE329" s="1" t="s">
        <v>132</v>
      </c>
      <c r="AF329" s="1">
        <v>3656</v>
      </c>
      <c r="AG329" s="1" t="s">
        <v>113</v>
      </c>
      <c r="AH329" s="1">
        <v>0</v>
      </c>
      <c r="AI329" s="1">
        <v>0</v>
      </c>
      <c r="AJ329" s="1">
        <v>0</v>
      </c>
      <c r="AK329" s="1" t="s">
        <v>232</v>
      </c>
      <c r="AL329" s="4">
        <v>44457</v>
      </c>
      <c r="AM329" s="1" t="s">
        <v>131</v>
      </c>
      <c r="AN329" s="1">
        <v>15000</v>
      </c>
      <c r="AO329" s="1" t="s">
        <v>113</v>
      </c>
      <c r="AP329" s="1" t="s">
        <v>106</v>
      </c>
      <c r="AQ329" s="1" t="s">
        <v>4107</v>
      </c>
      <c r="AR329" s="1" t="s">
        <v>4108</v>
      </c>
      <c r="AS329" s="1" t="s">
        <v>4109</v>
      </c>
      <c r="AT329" s="1" t="s">
        <v>1541</v>
      </c>
      <c r="AU329" s="1" t="s">
        <v>106</v>
      </c>
      <c r="AV329" s="1" t="s">
        <v>113</v>
      </c>
      <c r="AW329" s="1" t="s">
        <v>124</v>
      </c>
      <c r="AX329" s="1" t="s">
        <v>1594</v>
      </c>
      <c r="AY329" s="1">
        <v>2000</v>
      </c>
      <c r="AZ329" s="1" t="s">
        <v>113</v>
      </c>
      <c r="BA329" s="1" t="s">
        <v>113</v>
      </c>
      <c r="BB329" s="1" t="s">
        <v>125</v>
      </c>
      <c r="BC329" s="1" t="s">
        <v>1594</v>
      </c>
      <c r="BD329" s="1">
        <v>2000</v>
      </c>
      <c r="BE329" s="1">
        <v>100</v>
      </c>
      <c r="BF329" s="1" t="s">
        <v>167</v>
      </c>
      <c r="BG329" s="1" t="s">
        <v>1188</v>
      </c>
      <c r="BH329" s="1" t="s">
        <v>269</v>
      </c>
      <c r="BI329" s="1" t="s">
        <v>269</v>
      </c>
      <c r="BJ329" s="1" t="s">
        <v>208</v>
      </c>
      <c r="BK329" s="1">
        <v>70</v>
      </c>
      <c r="BL329" s="1" t="s">
        <v>270</v>
      </c>
      <c r="BM329" s="1" t="s">
        <v>386</v>
      </c>
      <c r="BN329" s="1">
        <v>66</v>
      </c>
      <c r="BO329" s="1">
        <v>0</v>
      </c>
      <c r="BP329" s="1" t="s">
        <v>115</v>
      </c>
      <c r="BQ329" s="1" t="s">
        <v>2792</v>
      </c>
      <c r="BR329" s="1" t="s">
        <v>4109</v>
      </c>
      <c r="BS329" s="1" t="s">
        <v>4108</v>
      </c>
      <c r="BT329" s="1" t="s">
        <v>172</v>
      </c>
      <c r="BU329" s="1" t="s">
        <v>3680</v>
      </c>
      <c r="BV329" s="1" t="s">
        <v>4110</v>
      </c>
      <c r="BW329" s="1" t="s">
        <v>298</v>
      </c>
      <c r="BX329" s="1" t="s">
        <v>1669</v>
      </c>
      <c r="BY329" s="1" t="s">
        <v>135</v>
      </c>
      <c r="BZ329" s="1" t="s">
        <v>4111</v>
      </c>
      <c r="CA329" s="1">
        <v>100</v>
      </c>
      <c r="CB329" s="1" t="s">
        <v>244</v>
      </c>
      <c r="CC329" s="1" t="s">
        <v>177</v>
      </c>
      <c r="CD329" s="1" t="s">
        <v>4112</v>
      </c>
      <c r="CE329" s="1" t="s">
        <v>1194</v>
      </c>
      <c r="CF329" s="1">
        <v>707653.16</v>
      </c>
      <c r="CG329" s="1">
        <v>1124727.21</v>
      </c>
      <c r="CH329" s="1">
        <v>0</v>
      </c>
      <c r="CI329" s="1">
        <v>0</v>
      </c>
      <c r="CJ329" s="1">
        <v>312</v>
      </c>
      <c r="CK329" s="1">
        <v>0</v>
      </c>
      <c r="CL329" s="1">
        <v>763</v>
      </c>
      <c r="CM329" s="1">
        <v>0</v>
      </c>
      <c r="CN329" s="1">
        <v>0</v>
      </c>
      <c r="CO329" s="1">
        <v>0</v>
      </c>
      <c r="CP329" s="1">
        <v>0</v>
      </c>
      <c r="CQ329" s="1">
        <v>0</v>
      </c>
      <c r="CR329" s="1" t="s">
        <v>418</v>
      </c>
      <c r="CS329" s="1" t="s">
        <v>140</v>
      </c>
      <c r="CT329" s="1" t="s">
        <v>573</v>
      </c>
      <c r="CV329" s="1" t="s">
        <v>439</v>
      </c>
      <c r="CW329" s="1" t="s">
        <v>284</v>
      </c>
      <c r="CX329" s="1" t="s">
        <v>4113</v>
      </c>
      <c r="CY329" s="1" t="s">
        <v>143</v>
      </c>
      <c r="CZ329" s="1" t="s">
        <v>144</v>
      </c>
      <c r="DA329" s="1" t="s">
        <v>145</v>
      </c>
    </row>
    <row r="330" spans="1:105" s="3" customFormat="1" ht="11.25" customHeight="1" x14ac:dyDescent="0.2">
      <c r="A330" s="1">
        <v>41</v>
      </c>
      <c r="B330" s="1" t="s">
        <v>4114</v>
      </c>
      <c r="C330" s="1" t="s">
        <v>4115</v>
      </c>
      <c r="D330" s="1">
        <v>28761</v>
      </c>
      <c r="E330" s="2" t="s">
        <v>1688</v>
      </c>
      <c r="F330" s="1"/>
      <c r="G330" s="1"/>
      <c r="H330" s="1"/>
      <c r="I330" s="1"/>
      <c r="J330" s="1"/>
      <c r="K330" s="1"/>
      <c r="L330" s="1"/>
      <c r="M330" s="1"/>
      <c r="N330" s="1"/>
      <c r="O330" s="1"/>
      <c r="P330" s="1"/>
      <c r="Q330" s="1"/>
      <c r="R330" s="1"/>
      <c r="S330" s="1"/>
      <c r="T330" s="1"/>
      <c r="U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row>
    <row r="331" spans="1:105" s="3" customFormat="1" ht="11.25" customHeight="1" x14ac:dyDescent="0.2">
      <c r="A331" s="3">
        <v>41</v>
      </c>
      <c r="B331" s="3" t="s">
        <v>4116</v>
      </c>
      <c r="C331" s="3" t="s">
        <v>3549</v>
      </c>
      <c r="D331" s="3">
        <v>14385</v>
      </c>
      <c r="E331" s="2" t="s">
        <v>4201</v>
      </c>
      <c r="F331" s="1" t="s">
        <v>113</v>
      </c>
      <c r="G331" s="1" t="s">
        <v>190</v>
      </c>
      <c r="H331" s="1" t="s">
        <v>856</v>
      </c>
      <c r="I331" s="1" t="s">
        <v>229</v>
      </c>
      <c r="J331" s="1" t="s">
        <v>229</v>
      </c>
      <c r="L331" s="1" t="s">
        <v>149</v>
      </c>
      <c r="M331" s="1" t="s">
        <v>4117</v>
      </c>
      <c r="N331" s="1" t="s">
        <v>112</v>
      </c>
      <c r="O331" s="1" t="s">
        <v>106</v>
      </c>
      <c r="P331" s="1" t="s">
        <v>113</v>
      </c>
      <c r="Q331" s="1" t="s">
        <v>152</v>
      </c>
      <c r="R331" s="1" t="s">
        <v>114</v>
      </c>
      <c r="S331" s="1" t="s">
        <v>4118</v>
      </c>
      <c r="T331" s="1" t="s">
        <v>106</v>
      </c>
      <c r="U331" s="1" t="s">
        <v>4117</v>
      </c>
      <c r="V331" s="1" t="s">
        <v>4119</v>
      </c>
      <c r="W331" s="1" t="s">
        <v>115</v>
      </c>
      <c r="X331" s="1" t="s">
        <v>106</v>
      </c>
      <c r="Y331" s="1" t="s">
        <v>4120</v>
      </c>
      <c r="Z331" s="1">
        <v>100</v>
      </c>
      <c r="AA331" s="1" t="s">
        <v>132</v>
      </c>
      <c r="AB331" s="1" t="s">
        <v>158</v>
      </c>
      <c r="AC331" s="1" t="s">
        <v>118</v>
      </c>
      <c r="AD331" s="1">
        <v>70</v>
      </c>
      <c r="AE331" s="1" t="s">
        <v>132</v>
      </c>
      <c r="AF331" s="1">
        <v>1836</v>
      </c>
      <c r="AG331" s="1" t="s">
        <v>113</v>
      </c>
      <c r="AH331" s="1">
        <v>80</v>
      </c>
      <c r="AI331" s="1">
        <v>20</v>
      </c>
      <c r="AJ331" s="1">
        <v>50</v>
      </c>
      <c r="AK331" s="1" t="s">
        <v>200</v>
      </c>
      <c r="AL331" s="1">
        <v>50</v>
      </c>
      <c r="AM331" s="1" t="s">
        <v>120</v>
      </c>
      <c r="AN331" s="1">
        <v>50</v>
      </c>
      <c r="AO331" s="1" t="s">
        <v>113</v>
      </c>
      <c r="AP331" s="1" t="s">
        <v>113</v>
      </c>
      <c r="AQ331" s="1" t="s">
        <v>114</v>
      </c>
      <c r="AR331" s="1" t="s">
        <v>114</v>
      </c>
      <c r="AS331" s="1" t="s">
        <v>114</v>
      </c>
      <c r="AT331" s="1" t="s">
        <v>204</v>
      </c>
      <c r="AU331" s="1" t="s">
        <v>106</v>
      </c>
      <c r="AV331" s="1" t="s">
        <v>113</v>
      </c>
      <c r="AW331" s="1" t="s">
        <v>234</v>
      </c>
      <c r="AX331" s="1" t="s">
        <v>206</v>
      </c>
      <c r="AY331" s="1">
        <v>300</v>
      </c>
      <c r="AZ331" s="1" t="s">
        <v>113</v>
      </c>
      <c r="BA331" s="1" t="s">
        <v>113</v>
      </c>
      <c r="BB331" s="1" t="s">
        <v>125</v>
      </c>
      <c r="BC331" s="1" t="s">
        <v>166</v>
      </c>
      <c r="BD331" s="1">
        <v>0</v>
      </c>
      <c r="BE331" s="1">
        <v>100</v>
      </c>
      <c r="BF331" s="1" t="s">
        <v>209</v>
      </c>
      <c r="BG331" s="1" t="s">
        <v>268</v>
      </c>
      <c r="BH331" s="1" t="s">
        <v>269</v>
      </c>
      <c r="BI331" s="1" t="s">
        <v>269</v>
      </c>
      <c r="BJ331" s="1" t="s">
        <v>208</v>
      </c>
      <c r="BK331" s="1">
        <v>80</v>
      </c>
      <c r="BL331" s="1" t="s">
        <v>270</v>
      </c>
      <c r="BM331" s="1" t="s">
        <v>271</v>
      </c>
      <c r="BN331" s="1">
        <v>14</v>
      </c>
      <c r="BO331" s="1">
        <v>0</v>
      </c>
      <c r="BP331" s="1" t="s">
        <v>115</v>
      </c>
      <c r="BQ331" s="1" t="s">
        <v>704</v>
      </c>
      <c r="BR331" s="1" t="s">
        <v>114</v>
      </c>
      <c r="BS331" s="1" t="s">
        <v>4121</v>
      </c>
      <c r="BT331" s="1" t="s">
        <v>172</v>
      </c>
      <c r="BU331" s="1" t="s">
        <v>132</v>
      </c>
      <c r="BV331" s="1" t="s">
        <v>4122</v>
      </c>
      <c r="BW331" s="1" t="s">
        <v>134</v>
      </c>
      <c r="BX331" s="1" t="s">
        <v>4123</v>
      </c>
      <c r="BY331" s="1" t="s">
        <v>135</v>
      </c>
      <c r="BZ331" s="1">
        <v>249177</v>
      </c>
      <c r="CA331" s="1">
        <v>1836</v>
      </c>
      <c r="CB331" s="1" t="s">
        <v>244</v>
      </c>
      <c r="CC331" s="1" t="s">
        <v>4124</v>
      </c>
      <c r="CD331" s="1" t="s">
        <v>4125</v>
      </c>
      <c r="CE331" s="1" t="s">
        <v>4126</v>
      </c>
      <c r="CF331" s="1">
        <v>35896469</v>
      </c>
      <c r="CG331" s="1">
        <v>135503200</v>
      </c>
      <c r="CH331" s="1">
        <v>0</v>
      </c>
      <c r="CI331" s="1">
        <v>0</v>
      </c>
      <c r="CJ331" s="1">
        <v>0</v>
      </c>
      <c r="CK331" s="1">
        <v>0</v>
      </c>
      <c r="CL331" s="1">
        <v>0</v>
      </c>
      <c r="CM331" s="1">
        <v>0</v>
      </c>
      <c r="CN331" s="1">
        <v>0</v>
      </c>
      <c r="CO331" s="1">
        <v>0</v>
      </c>
      <c r="CP331" s="1">
        <v>0</v>
      </c>
      <c r="CQ331" s="1">
        <v>0</v>
      </c>
      <c r="CR331" s="1" t="s">
        <v>139</v>
      </c>
      <c r="CS331" s="1" t="s">
        <v>308</v>
      </c>
      <c r="CT331" s="1" t="s">
        <v>394</v>
      </c>
      <c r="CV331" s="1" t="s">
        <v>1505</v>
      </c>
      <c r="CW331" s="1" t="s">
        <v>251</v>
      </c>
      <c r="CX331" s="1" t="s">
        <v>114</v>
      </c>
      <c r="CY331" s="1" t="s">
        <v>143</v>
      </c>
      <c r="CZ331" s="1" t="s">
        <v>144</v>
      </c>
      <c r="DA331" s="1" t="s">
        <v>145</v>
      </c>
    </row>
    <row r="332" spans="1:105" s="3" customFormat="1" ht="11.25" customHeight="1" x14ac:dyDescent="0.2">
      <c r="A332" s="3">
        <v>41</v>
      </c>
      <c r="B332" s="3" t="s">
        <v>4128</v>
      </c>
      <c r="C332" s="3" t="s">
        <v>4127</v>
      </c>
      <c r="D332" s="3">
        <v>3657</v>
      </c>
      <c r="E332" s="2" t="s">
        <v>4201</v>
      </c>
      <c r="F332" s="1" t="s">
        <v>113</v>
      </c>
      <c r="G332" s="1" t="s">
        <v>190</v>
      </c>
      <c r="H332" s="1" t="s">
        <v>3876</v>
      </c>
      <c r="I332" s="1" t="s">
        <v>229</v>
      </c>
      <c r="J332" s="1" t="s">
        <v>229</v>
      </c>
      <c r="L332" s="1" t="s">
        <v>111</v>
      </c>
      <c r="M332" s="1" t="s">
        <v>3702</v>
      </c>
      <c r="N332" s="1" t="s">
        <v>112</v>
      </c>
      <c r="O332" s="1" t="s">
        <v>113</v>
      </c>
      <c r="P332" s="1" t="s">
        <v>113</v>
      </c>
      <c r="Q332" s="1" t="s">
        <v>152</v>
      </c>
      <c r="R332" s="1" t="s">
        <v>4129</v>
      </c>
      <c r="S332" s="1" t="s">
        <v>4130</v>
      </c>
      <c r="T332" s="1" t="s">
        <v>113</v>
      </c>
      <c r="U332" s="1" t="s">
        <v>4131</v>
      </c>
      <c r="V332" s="1" t="s">
        <v>4132</v>
      </c>
      <c r="W332" s="1" t="s">
        <v>755</v>
      </c>
      <c r="X332" s="1" t="s">
        <v>113</v>
      </c>
      <c r="Y332" s="1" t="s">
        <v>3702</v>
      </c>
      <c r="Z332" s="1">
        <v>100</v>
      </c>
      <c r="AA332" s="1" t="s">
        <v>116</v>
      </c>
      <c r="AB332" s="1" t="s">
        <v>128</v>
      </c>
      <c r="AC332" s="1" t="s">
        <v>118</v>
      </c>
      <c r="AD332" s="1">
        <v>70</v>
      </c>
      <c r="AE332" s="1" t="s">
        <v>116</v>
      </c>
      <c r="AF332" s="1">
        <v>688</v>
      </c>
      <c r="AG332" s="1" t="s">
        <v>113</v>
      </c>
      <c r="AH332" s="1">
        <v>50</v>
      </c>
      <c r="AI332" s="1">
        <v>20</v>
      </c>
      <c r="AJ332" s="1">
        <v>30</v>
      </c>
      <c r="AK332" s="1" t="s">
        <v>119</v>
      </c>
      <c r="AL332" s="1">
        <v>0</v>
      </c>
      <c r="AM332" s="1" t="s">
        <v>1582</v>
      </c>
      <c r="AN332" s="5" t="s">
        <v>220</v>
      </c>
      <c r="AO332" s="1" t="s">
        <v>113</v>
      </c>
      <c r="AP332" s="1" t="s">
        <v>113</v>
      </c>
      <c r="AQ332" s="1" t="s">
        <v>114</v>
      </c>
      <c r="AR332" s="1" t="s">
        <v>290</v>
      </c>
      <c r="AS332" s="1" t="s">
        <v>290</v>
      </c>
      <c r="AT332" s="1" t="s">
        <v>628</v>
      </c>
      <c r="AU332" s="1" t="s">
        <v>113</v>
      </c>
      <c r="AV332" s="1" t="s">
        <v>113</v>
      </c>
      <c r="AW332" s="1" t="s">
        <v>124</v>
      </c>
      <c r="AX332" s="1" t="s">
        <v>550</v>
      </c>
      <c r="AY332" s="1">
        <v>0</v>
      </c>
      <c r="AZ332" s="1" t="s">
        <v>113</v>
      </c>
      <c r="BA332" s="1" t="s">
        <v>113</v>
      </c>
      <c r="BB332" s="1" t="s">
        <v>125</v>
      </c>
      <c r="BC332" s="1" t="s">
        <v>166</v>
      </c>
      <c r="BD332" s="1">
        <v>0</v>
      </c>
      <c r="BE332" s="1">
        <v>100</v>
      </c>
      <c r="BF332" s="1" t="s">
        <v>630</v>
      </c>
      <c r="BG332" s="1" t="s">
        <v>383</v>
      </c>
      <c r="BH332" s="1" t="s">
        <v>269</v>
      </c>
      <c r="BI332" s="1" t="s">
        <v>269</v>
      </c>
      <c r="BJ332" s="1" t="s">
        <v>208</v>
      </c>
      <c r="BK332" s="1">
        <v>70</v>
      </c>
      <c r="BL332" s="1" t="s">
        <v>270</v>
      </c>
      <c r="BM332" s="1" t="s">
        <v>386</v>
      </c>
      <c r="BN332" s="1">
        <v>6</v>
      </c>
      <c r="BO332" s="1">
        <v>4</v>
      </c>
      <c r="BP332" s="1" t="s">
        <v>124</v>
      </c>
      <c r="BQ332" s="1" t="s">
        <v>4133</v>
      </c>
      <c r="BR332" s="1" t="s">
        <v>4134</v>
      </c>
      <c r="BS332" s="1" t="s">
        <v>4135</v>
      </c>
      <c r="BT332" s="1" t="s">
        <v>172</v>
      </c>
      <c r="BU332" s="1" t="s">
        <v>239</v>
      </c>
      <c r="BV332" s="1" t="s">
        <v>2256</v>
      </c>
      <c r="BW332" s="1" t="s">
        <v>134</v>
      </c>
      <c r="BX332" s="1" t="s">
        <v>1582</v>
      </c>
      <c r="BY332" s="1" t="s">
        <v>135</v>
      </c>
      <c r="BZ332" s="1" t="s">
        <v>4136</v>
      </c>
      <c r="CA332" s="1">
        <v>688</v>
      </c>
      <c r="CB332" s="1" t="s">
        <v>244</v>
      </c>
      <c r="CC332" s="1" t="s">
        <v>177</v>
      </c>
      <c r="CD332" s="1" t="s">
        <v>4137</v>
      </c>
      <c r="CE332" s="1" t="s">
        <v>219</v>
      </c>
      <c r="CF332" s="1">
        <v>120524</v>
      </c>
      <c r="CG332" s="1">
        <v>312090</v>
      </c>
      <c r="CH332" s="1">
        <v>106000</v>
      </c>
      <c r="CI332" s="1">
        <v>0</v>
      </c>
      <c r="CJ332" s="1">
        <v>50000</v>
      </c>
      <c r="CK332" s="1">
        <v>66000</v>
      </c>
      <c r="CL332" s="5" t="s">
        <v>220</v>
      </c>
      <c r="CM332" s="5" t="s">
        <v>220</v>
      </c>
      <c r="CN332" s="1">
        <v>80000</v>
      </c>
      <c r="CO332" s="5" t="s">
        <v>220</v>
      </c>
      <c r="CP332" s="5" t="s">
        <v>220</v>
      </c>
      <c r="CQ332" s="5" t="s">
        <v>220</v>
      </c>
      <c r="CR332" s="1" t="s">
        <v>139</v>
      </c>
      <c r="CS332" s="1" t="s">
        <v>140</v>
      </c>
      <c r="CT332" s="1" t="s">
        <v>4138</v>
      </c>
      <c r="CV332" s="1" t="s">
        <v>4139</v>
      </c>
      <c r="CW332" s="1" t="s">
        <v>251</v>
      </c>
      <c r="CX332" s="1" t="s">
        <v>290</v>
      </c>
      <c r="CY332" s="1" t="s">
        <v>143</v>
      </c>
    </row>
    <row r="333" spans="1:105" s="3" customFormat="1" ht="11.25" customHeight="1" x14ac:dyDescent="0.2">
      <c r="A333" s="3">
        <v>41</v>
      </c>
      <c r="B333" s="3" t="s">
        <v>4141</v>
      </c>
      <c r="C333" s="3" t="s">
        <v>4140</v>
      </c>
      <c r="D333" s="3">
        <v>9985</v>
      </c>
      <c r="E333" s="2" t="s">
        <v>4201</v>
      </c>
      <c r="F333" s="1" t="s">
        <v>106</v>
      </c>
      <c r="G333" s="1" t="s">
        <v>398</v>
      </c>
      <c r="H333" s="1" t="s">
        <v>359</v>
      </c>
      <c r="I333" s="1" t="s">
        <v>4142</v>
      </c>
      <c r="J333" s="1" t="s">
        <v>113</v>
      </c>
      <c r="L333" s="1" t="s">
        <v>111</v>
      </c>
      <c r="M333" s="1" t="s">
        <v>192</v>
      </c>
      <c r="N333" s="1" t="s">
        <v>112</v>
      </c>
      <c r="O333" s="1" t="s">
        <v>106</v>
      </c>
      <c r="P333" s="1" t="s">
        <v>113</v>
      </c>
      <c r="Q333" s="1" t="s">
        <v>1298</v>
      </c>
      <c r="R333" s="1" t="s">
        <v>157</v>
      </c>
      <c r="S333" s="1" t="s">
        <v>157</v>
      </c>
      <c r="T333" s="1" t="s">
        <v>106</v>
      </c>
      <c r="U333" s="1" t="s">
        <v>157</v>
      </c>
      <c r="V333" s="1" t="s">
        <v>4143</v>
      </c>
      <c r="W333" s="1" t="s">
        <v>755</v>
      </c>
      <c r="X333" s="1" t="s">
        <v>113</v>
      </c>
      <c r="Y333" s="1" t="s">
        <v>1263</v>
      </c>
      <c r="Z333" s="1">
        <v>100</v>
      </c>
      <c r="AA333" s="1" t="s">
        <v>116</v>
      </c>
      <c r="AB333" s="1" t="s">
        <v>128</v>
      </c>
      <c r="AC333" s="1" t="s">
        <v>118</v>
      </c>
      <c r="AD333" s="1">
        <v>38</v>
      </c>
      <c r="AE333" s="1" t="s">
        <v>116</v>
      </c>
      <c r="AF333" s="1">
        <v>800</v>
      </c>
      <c r="AG333" s="1" t="s">
        <v>113</v>
      </c>
      <c r="AH333" s="1">
        <v>0</v>
      </c>
      <c r="AI333" s="1">
        <v>0</v>
      </c>
      <c r="AJ333" s="1">
        <v>0</v>
      </c>
      <c r="AK333" s="1" t="s">
        <v>119</v>
      </c>
      <c r="AL333" s="1">
        <v>0</v>
      </c>
      <c r="AM333" s="1" t="s">
        <v>4144</v>
      </c>
      <c r="AN333" s="1">
        <v>0</v>
      </c>
      <c r="AO333" s="1" t="s">
        <v>113</v>
      </c>
      <c r="AP333" s="1" t="s">
        <v>113</v>
      </c>
      <c r="AQ333" s="1" t="s">
        <v>157</v>
      </c>
      <c r="AR333" s="1" t="s">
        <v>157</v>
      </c>
      <c r="AS333" s="1" t="s">
        <v>157</v>
      </c>
      <c r="AT333" s="1" t="s">
        <v>123</v>
      </c>
      <c r="AU333" s="1" t="s">
        <v>106</v>
      </c>
      <c r="AV333" s="1" t="s">
        <v>113</v>
      </c>
      <c r="AW333" s="1" t="s">
        <v>164</v>
      </c>
      <c r="AX333" s="1" t="s">
        <v>165</v>
      </c>
      <c r="AY333" s="1">
        <v>0</v>
      </c>
      <c r="AZ333" s="1" t="s">
        <v>113</v>
      </c>
      <c r="BA333" s="1" t="s">
        <v>113</v>
      </c>
      <c r="BB333" s="1" t="s">
        <v>125</v>
      </c>
      <c r="BC333" s="1" t="s">
        <v>166</v>
      </c>
      <c r="BD333" s="1">
        <v>0</v>
      </c>
      <c r="BE333" s="1">
        <v>100</v>
      </c>
      <c r="BF333" s="1" t="s">
        <v>630</v>
      </c>
      <c r="BG333" s="1" t="s">
        <v>268</v>
      </c>
      <c r="BH333" s="1" t="s">
        <v>169</v>
      </c>
      <c r="BI333" s="1" t="s">
        <v>169</v>
      </c>
      <c r="BJ333" s="1" t="s">
        <v>208</v>
      </c>
      <c r="BK333" s="1">
        <v>38</v>
      </c>
      <c r="BL333" s="1" t="s">
        <v>294</v>
      </c>
      <c r="BM333" s="1" t="s">
        <v>271</v>
      </c>
      <c r="BN333" s="1">
        <v>3</v>
      </c>
      <c r="BO333" s="1">
        <v>0</v>
      </c>
      <c r="BP333" s="1" t="s">
        <v>124</v>
      </c>
      <c r="BQ333" s="1">
        <v>0</v>
      </c>
      <c r="BR333" s="1" t="s">
        <v>4145</v>
      </c>
      <c r="BS333" s="1" t="s">
        <v>4146</v>
      </c>
      <c r="BT333" s="1" t="s">
        <v>172</v>
      </c>
      <c r="BU333" s="1" t="s">
        <v>239</v>
      </c>
      <c r="BV333" s="1" t="s">
        <v>1544</v>
      </c>
      <c r="BW333" s="1" t="s">
        <v>134</v>
      </c>
      <c r="BX333" s="1" t="s">
        <v>325</v>
      </c>
      <c r="BY333" s="1" t="s">
        <v>299</v>
      </c>
      <c r="BZ333" s="1">
        <v>279608</v>
      </c>
      <c r="CA333" s="1">
        <v>800</v>
      </c>
      <c r="CB333" s="1" t="s">
        <v>176</v>
      </c>
      <c r="CC333" s="1" t="s">
        <v>301</v>
      </c>
      <c r="CD333" s="1" t="s">
        <v>4147</v>
      </c>
      <c r="CE333" s="1" t="s">
        <v>458</v>
      </c>
      <c r="CF333" s="1">
        <v>186972.96</v>
      </c>
      <c r="CG333" s="1">
        <v>221959.16</v>
      </c>
      <c r="CH333" s="1">
        <v>156.29</v>
      </c>
      <c r="CI333" s="1">
        <v>0</v>
      </c>
      <c r="CJ333" s="1">
        <v>0</v>
      </c>
      <c r="CK333" s="1">
        <v>1165.1300000000001</v>
      </c>
      <c r="CL333" s="1">
        <v>116513</v>
      </c>
      <c r="CM333" s="1">
        <v>0</v>
      </c>
      <c r="CN333" s="1">
        <v>0</v>
      </c>
      <c r="CO333" s="1">
        <v>0</v>
      </c>
      <c r="CP333" s="1">
        <v>0</v>
      </c>
      <c r="CQ333" s="1">
        <v>0</v>
      </c>
      <c r="CR333" s="1" t="s">
        <v>139</v>
      </c>
      <c r="CS333" s="1" t="s">
        <v>140</v>
      </c>
      <c r="CT333" s="1" t="s">
        <v>589</v>
      </c>
      <c r="CW333" s="1" t="s">
        <v>4018</v>
      </c>
      <c r="CX333" s="1">
        <v>0</v>
      </c>
      <c r="CY333" s="1" t="s">
        <v>276</v>
      </c>
      <c r="CZ333" s="1" t="s">
        <v>144</v>
      </c>
      <c r="DA333" s="1" t="s">
        <v>145</v>
      </c>
    </row>
    <row r="334" spans="1:105" s="3" customFormat="1" ht="11.25" customHeight="1" x14ac:dyDescent="0.2">
      <c r="A334" s="3">
        <v>41</v>
      </c>
      <c r="B334" s="3" t="s">
        <v>4149</v>
      </c>
      <c r="C334" s="3" t="s">
        <v>4148</v>
      </c>
      <c r="D334" s="3">
        <v>11034</v>
      </c>
      <c r="E334" s="2" t="s">
        <v>4201</v>
      </c>
      <c r="F334" s="1" t="s">
        <v>113</v>
      </c>
      <c r="G334" s="1" t="s">
        <v>3107</v>
      </c>
      <c r="H334" s="1" t="s">
        <v>4150</v>
      </c>
      <c r="I334" s="1" t="s">
        <v>4151</v>
      </c>
      <c r="J334" s="1" t="s">
        <v>229</v>
      </c>
      <c r="L334" s="1" t="s">
        <v>111</v>
      </c>
      <c r="M334" s="1" t="s">
        <v>1427</v>
      </c>
      <c r="N334" s="1" t="s">
        <v>112</v>
      </c>
      <c r="O334" s="1" t="s">
        <v>106</v>
      </c>
      <c r="P334" s="1" t="s">
        <v>113</v>
      </c>
      <c r="Q334" s="1" t="s">
        <v>195</v>
      </c>
      <c r="R334" s="1" t="s">
        <v>4152</v>
      </c>
      <c r="S334" s="1" t="s">
        <v>4153</v>
      </c>
      <c r="T334" s="1" t="s">
        <v>106</v>
      </c>
      <c r="U334" s="1" t="s">
        <v>4154</v>
      </c>
      <c r="V334" s="1" t="s">
        <v>4155</v>
      </c>
      <c r="W334" s="1" t="s">
        <v>115</v>
      </c>
      <c r="X334" s="1" t="s">
        <v>106</v>
      </c>
      <c r="Y334" s="1" t="s">
        <v>4156</v>
      </c>
      <c r="Z334" s="1">
        <v>100</v>
      </c>
      <c r="AA334" s="1" t="s">
        <v>116</v>
      </c>
      <c r="AB334" s="1" t="s">
        <v>128</v>
      </c>
      <c r="AC334" s="1" t="s">
        <v>118</v>
      </c>
      <c r="AD334" s="1">
        <v>70</v>
      </c>
      <c r="AE334" s="1" t="s">
        <v>116</v>
      </c>
      <c r="AF334" s="1">
        <v>2410</v>
      </c>
      <c r="AG334" s="1" t="s">
        <v>106</v>
      </c>
      <c r="AH334" s="1">
        <v>80</v>
      </c>
      <c r="AI334" s="1">
        <v>20</v>
      </c>
      <c r="AJ334" s="1">
        <v>10</v>
      </c>
      <c r="AK334" s="1" t="s">
        <v>318</v>
      </c>
      <c r="AL334" s="1">
        <v>4300</v>
      </c>
      <c r="AM334" s="1" t="s">
        <v>120</v>
      </c>
      <c r="AO334" s="1" t="s">
        <v>113</v>
      </c>
      <c r="AP334" s="1" t="s">
        <v>106</v>
      </c>
      <c r="AQ334" s="1" t="s">
        <v>4157</v>
      </c>
      <c r="AR334" s="1" t="s">
        <v>4158</v>
      </c>
      <c r="AS334" s="1" t="s">
        <v>4159</v>
      </c>
      <c r="AT334" s="1" t="s">
        <v>204</v>
      </c>
      <c r="AU334" s="1" t="s">
        <v>106</v>
      </c>
      <c r="AV334" s="1" t="s">
        <v>106</v>
      </c>
      <c r="AW334" s="1" t="s">
        <v>234</v>
      </c>
      <c r="AX334" s="1" t="s">
        <v>1073</v>
      </c>
      <c r="AY334" s="1">
        <v>200</v>
      </c>
      <c r="AZ334" s="1" t="s">
        <v>113</v>
      </c>
      <c r="BA334" s="1" t="s">
        <v>113</v>
      </c>
      <c r="BB334" s="1" t="s">
        <v>125</v>
      </c>
      <c r="BC334" s="1" t="s">
        <v>166</v>
      </c>
      <c r="BD334" s="1">
        <v>0</v>
      </c>
      <c r="BE334" s="1">
        <v>100</v>
      </c>
      <c r="BF334" s="1" t="s">
        <v>167</v>
      </c>
      <c r="BG334" s="1" t="s">
        <v>268</v>
      </c>
      <c r="BH334" s="1" t="s">
        <v>169</v>
      </c>
      <c r="BI334" s="1" t="s">
        <v>169</v>
      </c>
      <c r="BJ334" s="1" t="s">
        <v>208</v>
      </c>
      <c r="BK334" s="1">
        <v>50</v>
      </c>
      <c r="BL334" s="1" t="s">
        <v>4160</v>
      </c>
      <c r="BM334" s="1" t="s">
        <v>271</v>
      </c>
      <c r="BN334" s="1" t="s">
        <v>276</v>
      </c>
      <c r="BP334" s="1" t="s">
        <v>115</v>
      </c>
      <c r="BQ334" s="1" t="s">
        <v>4161</v>
      </c>
      <c r="BR334" s="1" t="s">
        <v>4162</v>
      </c>
      <c r="BS334" s="1" t="s">
        <v>4163</v>
      </c>
      <c r="BT334" s="1" t="s">
        <v>172</v>
      </c>
      <c r="BU334" s="1" t="s">
        <v>132</v>
      </c>
      <c r="BV334" s="1" t="s">
        <v>4164</v>
      </c>
      <c r="BW334" s="1" t="s">
        <v>134</v>
      </c>
      <c r="BX334" s="1" t="s">
        <v>4165</v>
      </c>
      <c r="BY334" s="1" t="s">
        <v>135</v>
      </c>
      <c r="BZ334" s="1" t="s">
        <v>4157</v>
      </c>
      <c r="CA334" s="1">
        <v>2410</v>
      </c>
      <c r="CB334" s="1" t="s">
        <v>176</v>
      </c>
      <c r="CC334" s="1" t="s">
        <v>301</v>
      </c>
      <c r="CE334" s="1" t="s">
        <v>458</v>
      </c>
      <c r="CF334" s="1">
        <v>768260.71</v>
      </c>
      <c r="CG334" s="1">
        <v>207702.5</v>
      </c>
      <c r="CH334" s="1">
        <v>87</v>
      </c>
      <c r="CI334" s="1">
        <v>248</v>
      </c>
      <c r="CJ334" s="1">
        <v>0</v>
      </c>
      <c r="CK334" s="1">
        <v>532</v>
      </c>
      <c r="CL334" s="1">
        <v>0</v>
      </c>
      <c r="CM334" s="1">
        <v>0</v>
      </c>
      <c r="CN334" s="1">
        <v>372</v>
      </c>
      <c r="CO334" s="1">
        <v>0</v>
      </c>
      <c r="CP334" s="1">
        <v>0</v>
      </c>
      <c r="CQ334" s="1">
        <v>0</v>
      </c>
      <c r="CR334" s="1" t="s">
        <v>139</v>
      </c>
      <c r="CS334" s="1" t="s">
        <v>140</v>
      </c>
      <c r="CT334" s="1" t="s">
        <v>1031</v>
      </c>
      <c r="CV334" s="1" t="s">
        <v>4166</v>
      </c>
      <c r="CW334" s="1" t="s">
        <v>420</v>
      </c>
      <c r="CX334" s="1" t="s">
        <v>4167</v>
      </c>
      <c r="CY334" s="1" t="s">
        <v>652</v>
      </c>
      <c r="CZ334" s="1" t="s">
        <v>144</v>
      </c>
      <c r="DA334" s="1" t="s">
        <v>145</v>
      </c>
    </row>
    <row r="335" spans="1:105" s="3" customFormat="1" ht="11.25" customHeight="1" x14ac:dyDescent="0.2">
      <c r="A335" s="1">
        <v>41</v>
      </c>
      <c r="B335" s="1" t="s">
        <v>4168</v>
      </c>
      <c r="C335" s="1" t="s">
        <v>4169</v>
      </c>
      <c r="D335" s="1">
        <v>30757</v>
      </c>
      <c r="E335" s="2" t="s">
        <v>1688</v>
      </c>
      <c r="F335" s="1"/>
      <c r="G335" s="1"/>
      <c r="H335" s="1"/>
      <c r="I335" s="1"/>
      <c r="J335" s="1"/>
      <c r="L335" s="1"/>
      <c r="M335" s="1"/>
      <c r="N335" s="1"/>
      <c r="O335" s="1"/>
      <c r="P335" s="1"/>
      <c r="Q335" s="1"/>
      <c r="R335" s="1"/>
      <c r="S335" s="1"/>
      <c r="T335" s="1"/>
      <c r="U335" s="1"/>
      <c r="V335" s="1"/>
      <c r="W335" s="1"/>
      <c r="X335" s="1"/>
      <c r="Z335" s="1"/>
      <c r="AA335" s="1"/>
      <c r="AB335" s="1"/>
      <c r="AC335" s="1"/>
      <c r="AD335" s="1"/>
      <c r="AE335" s="1"/>
      <c r="AF335" s="1"/>
      <c r="AG335" s="1"/>
      <c r="AH335" s="1"/>
      <c r="AI335" s="1"/>
      <c r="AJ335" s="1"/>
      <c r="AK335" s="1"/>
      <c r="AM335" s="1"/>
      <c r="AO335" s="1"/>
      <c r="AP335" s="1"/>
      <c r="AQ335" s="1"/>
      <c r="AR335" s="1"/>
      <c r="AS335" s="1"/>
      <c r="AT335" s="1"/>
      <c r="AU335" s="1"/>
      <c r="AV335" s="1"/>
      <c r="AW335" s="1"/>
      <c r="AX335" s="1"/>
      <c r="AY335" s="1"/>
      <c r="AZ335" s="1"/>
      <c r="BA335" s="1"/>
      <c r="BB335" s="1"/>
      <c r="BC335" s="1"/>
      <c r="BD335" s="1"/>
      <c r="BE335" s="1"/>
      <c r="BF335" s="1"/>
      <c r="BG335" s="1"/>
      <c r="BI335" s="1"/>
      <c r="BJ335" s="1"/>
      <c r="BK335" s="1"/>
      <c r="BL335" s="1"/>
      <c r="BM335" s="1"/>
      <c r="BN335" s="1"/>
      <c r="BO335" s="1"/>
      <c r="BP335" s="1"/>
      <c r="BQ335" s="1"/>
      <c r="BR335" s="1"/>
      <c r="BS335" s="1"/>
      <c r="BT335" s="1"/>
      <c r="BU335" s="1"/>
      <c r="BV335" s="1"/>
      <c r="BW335" s="1"/>
      <c r="BX335" s="1"/>
      <c r="BY335" s="1"/>
      <c r="BZ335" s="1"/>
      <c r="CA335" s="1"/>
      <c r="CB335" s="1"/>
      <c r="CC335" s="1"/>
      <c r="CE335" s="1"/>
      <c r="CF335" s="1"/>
      <c r="CG335" s="1"/>
      <c r="CH335" s="1"/>
      <c r="CI335" s="1"/>
      <c r="CJ335" s="1"/>
      <c r="CK335" s="1"/>
      <c r="CL335" s="1"/>
      <c r="CM335" s="1"/>
      <c r="CN335" s="1"/>
      <c r="CO335" s="1"/>
      <c r="CP335" s="1"/>
      <c r="CQ335" s="1"/>
      <c r="CR335" s="1"/>
      <c r="CS335" s="1"/>
      <c r="CT335" s="1"/>
      <c r="CV335" s="1"/>
      <c r="CW335" s="1"/>
      <c r="CX335" s="1"/>
      <c r="CY335" s="1"/>
      <c r="CZ335" s="1"/>
      <c r="DA335" s="1"/>
    </row>
    <row r="336" spans="1:105" s="3" customFormat="1" ht="11.25" customHeight="1" x14ac:dyDescent="0.2">
      <c r="A336" s="1">
        <v>41</v>
      </c>
      <c r="B336" s="1" t="s">
        <v>4170</v>
      </c>
      <c r="C336" s="1" t="s">
        <v>4171</v>
      </c>
      <c r="D336" s="1">
        <v>31405</v>
      </c>
      <c r="E336" s="2" t="s">
        <v>1688</v>
      </c>
      <c r="F336" s="1"/>
      <c r="G336" s="1"/>
      <c r="H336" s="1"/>
      <c r="I336" s="1"/>
      <c r="J336" s="1"/>
      <c r="K336" s="1"/>
      <c r="L336" s="1"/>
      <c r="M336" s="1"/>
      <c r="N336" s="1"/>
      <c r="O336" s="1"/>
      <c r="P336" s="1"/>
      <c r="Q336" s="1"/>
      <c r="R336" s="7"/>
      <c r="S336" s="1"/>
      <c r="T336" s="1"/>
      <c r="U336" s="7"/>
      <c r="V336" s="1"/>
      <c r="W336" s="1"/>
      <c r="X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V336" s="1"/>
      <c r="CW336" s="1"/>
      <c r="CX336" s="1"/>
      <c r="CY336" s="1"/>
      <c r="CZ336" s="1"/>
      <c r="DA336" s="1"/>
    </row>
    <row r="337" spans="1:105" s="3" customFormat="1" ht="11.25" customHeight="1" x14ac:dyDescent="0.2">
      <c r="A337" s="1">
        <v>41</v>
      </c>
      <c r="B337" s="1" t="s">
        <v>4172</v>
      </c>
      <c r="C337" s="1" t="s">
        <v>4173</v>
      </c>
      <c r="D337" s="1">
        <v>31555</v>
      </c>
      <c r="E337" s="2" t="s">
        <v>1688</v>
      </c>
      <c r="F337" s="1"/>
      <c r="G337" s="1"/>
      <c r="H337" s="1"/>
      <c r="I337" s="1"/>
      <c r="J337" s="1"/>
      <c r="K337" s="1"/>
      <c r="L337" s="1"/>
      <c r="M337" s="1"/>
      <c r="N337" s="1"/>
      <c r="O337" s="1"/>
      <c r="P337" s="1"/>
      <c r="Q337" s="1"/>
      <c r="R337" s="1"/>
      <c r="S337" s="1"/>
      <c r="T337" s="1"/>
      <c r="U337" s="1"/>
      <c r="V337" s="1"/>
      <c r="W337" s="1"/>
      <c r="X337" s="1"/>
      <c r="Z337" s="1"/>
      <c r="AA337" s="1"/>
      <c r="AB337" s="1"/>
      <c r="AC337" s="1"/>
      <c r="AD337" s="1"/>
      <c r="AE337" s="1"/>
      <c r="AF337" s="1"/>
      <c r="AG337" s="1"/>
      <c r="AH337" s="1"/>
      <c r="AI337" s="1"/>
      <c r="AJ337" s="1"/>
      <c r="AK337" s="1"/>
      <c r="AM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P337" s="1"/>
      <c r="BQ337" s="1"/>
      <c r="BR337" s="1"/>
      <c r="BS337" s="1"/>
      <c r="BT337" s="1"/>
      <c r="BU337" s="1"/>
      <c r="BV337" s="1"/>
      <c r="BW337" s="1"/>
      <c r="BX337" s="1"/>
      <c r="BY337" s="1"/>
      <c r="BZ337" s="1"/>
      <c r="CA337" s="1"/>
      <c r="CB337" s="1"/>
      <c r="CC337" s="1"/>
      <c r="CD337" s="1"/>
      <c r="CE337" s="1"/>
      <c r="CF337" s="6"/>
      <c r="CG337" s="1"/>
      <c r="CH337" s="1"/>
      <c r="CI337" s="1"/>
      <c r="CJ337" s="1"/>
      <c r="CK337" s="1"/>
      <c r="CL337" s="1"/>
      <c r="CM337" s="1"/>
      <c r="CN337" s="1"/>
      <c r="CO337" s="1"/>
      <c r="CP337" s="1"/>
      <c r="CQ337" s="1"/>
      <c r="CR337" s="1"/>
      <c r="CS337" s="1"/>
      <c r="CT337" s="1"/>
      <c r="CU337" s="1"/>
      <c r="CV337" s="1"/>
      <c r="CW337" s="1"/>
      <c r="CX337" s="1"/>
      <c r="CY337" s="1"/>
      <c r="CZ337" s="1"/>
      <c r="DA337" s="1"/>
    </row>
    <row r="338" spans="1:105" s="3" customFormat="1" ht="11.25" customHeight="1" x14ac:dyDescent="0.2">
      <c r="A338" s="3">
        <v>41</v>
      </c>
      <c r="B338" s="3" t="s">
        <v>4175</v>
      </c>
      <c r="C338" s="3" t="s">
        <v>4174</v>
      </c>
      <c r="D338" s="3">
        <v>25055</v>
      </c>
      <c r="E338" s="2" t="s">
        <v>4201</v>
      </c>
      <c r="F338" s="1" t="s">
        <v>113</v>
      </c>
      <c r="G338" s="1" t="s">
        <v>190</v>
      </c>
      <c r="H338" s="1" t="s">
        <v>4176</v>
      </c>
      <c r="I338" s="1" t="s">
        <v>229</v>
      </c>
      <c r="J338" s="1" t="s">
        <v>229</v>
      </c>
      <c r="K338" s="1" t="s">
        <v>4177</v>
      </c>
      <c r="L338" s="1" t="s">
        <v>401</v>
      </c>
      <c r="M338" s="1" t="s">
        <v>4178</v>
      </c>
      <c r="N338" s="1" t="s">
        <v>443</v>
      </c>
      <c r="O338" s="1" t="s">
        <v>106</v>
      </c>
      <c r="P338" s="1" t="s">
        <v>106</v>
      </c>
      <c r="Q338" s="1" t="s">
        <v>195</v>
      </c>
      <c r="R338" s="1" t="s">
        <v>4179</v>
      </c>
      <c r="S338" s="1" t="s">
        <v>1683</v>
      </c>
      <c r="T338" s="1" t="s">
        <v>106</v>
      </c>
      <c r="U338" s="1" t="s">
        <v>4180</v>
      </c>
      <c r="V338" s="1" t="s">
        <v>4181</v>
      </c>
      <c r="W338" s="1" t="s">
        <v>115</v>
      </c>
      <c r="X338" s="1" t="s">
        <v>113</v>
      </c>
      <c r="Y338" s="1" t="s">
        <v>127</v>
      </c>
      <c r="Z338" s="1">
        <v>100</v>
      </c>
      <c r="AA338" s="1" t="s">
        <v>116</v>
      </c>
      <c r="AB338" s="1" t="s">
        <v>128</v>
      </c>
      <c r="AC338" s="1" t="s">
        <v>118</v>
      </c>
      <c r="AD338" s="1">
        <v>80</v>
      </c>
      <c r="AE338" s="1" t="s">
        <v>116</v>
      </c>
      <c r="AF338" s="1">
        <v>144</v>
      </c>
      <c r="AG338" s="1" t="s">
        <v>106</v>
      </c>
      <c r="AH338" s="1">
        <v>50</v>
      </c>
      <c r="AI338" s="1">
        <v>40</v>
      </c>
      <c r="AJ338" s="1">
        <v>10</v>
      </c>
      <c r="AK338" s="1" t="s">
        <v>119</v>
      </c>
      <c r="AM338" s="1" t="s">
        <v>4182</v>
      </c>
      <c r="AO338" s="1" t="s">
        <v>113</v>
      </c>
      <c r="AP338" s="1" t="s">
        <v>113</v>
      </c>
      <c r="AQ338" s="1" t="s">
        <v>127</v>
      </c>
      <c r="AR338" s="1" t="s">
        <v>127</v>
      </c>
      <c r="AS338" s="1" t="s">
        <v>127</v>
      </c>
      <c r="AT338" s="1" t="s">
        <v>759</v>
      </c>
      <c r="AU338" s="1" t="s">
        <v>106</v>
      </c>
      <c r="AV338" s="1" t="s">
        <v>113</v>
      </c>
      <c r="AW338" s="1" t="s">
        <v>234</v>
      </c>
      <c r="AX338" s="1" t="s">
        <v>1113</v>
      </c>
      <c r="AY338" s="1">
        <v>0</v>
      </c>
      <c r="AZ338" s="1" t="s">
        <v>106</v>
      </c>
      <c r="BA338" s="1" t="s">
        <v>113</v>
      </c>
      <c r="BB338" s="1" t="s">
        <v>761</v>
      </c>
      <c r="BC338" s="1" t="s">
        <v>1899</v>
      </c>
      <c r="BD338" s="1">
        <v>96</v>
      </c>
      <c r="BE338" s="1">
        <v>100</v>
      </c>
      <c r="BF338" s="1" t="s">
        <v>167</v>
      </c>
      <c r="BG338" s="1" t="s">
        <v>268</v>
      </c>
      <c r="BH338" s="1" t="s">
        <v>269</v>
      </c>
      <c r="BI338" s="1" t="s">
        <v>269</v>
      </c>
      <c r="BJ338" s="1" t="s">
        <v>384</v>
      </c>
      <c r="BK338" s="1">
        <v>100</v>
      </c>
      <c r="BL338" s="1" t="s">
        <v>270</v>
      </c>
      <c r="BM338" s="1" t="s">
        <v>271</v>
      </c>
      <c r="BN338" s="1">
        <v>43</v>
      </c>
      <c r="BO338" s="1">
        <v>0</v>
      </c>
      <c r="BP338" s="1" t="s">
        <v>124</v>
      </c>
      <c r="BQ338" s="1" t="s">
        <v>4183</v>
      </c>
      <c r="BR338" s="1" t="s">
        <v>4184</v>
      </c>
      <c r="BS338" s="1" t="s">
        <v>4185</v>
      </c>
      <c r="BT338" s="1" t="s">
        <v>172</v>
      </c>
      <c r="BU338" s="1" t="s">
        <v>239</v>
      </c>
      <c r="BV338" s="1" t="s">
        <v>4186</v>
      </c>
      <c r="BW338" s="1" t="s">
        <v>134</v>
      </c>
      <c r="BX338" s="1" t="s">
        <v>409</v>
      </c>
      <c r="BY338" s="1" t="s">
        <v>299</v>
      </c>
      <c r="BZ338" s="1" t="s">
        <v>4187</v>
      </c>
      <c r="CA338" s="1">
        <v>144</v>
      </c>
      <c r="CB338" s="1" t="s">
        <v>176</v>
      </c>
      <c r="CC338" s="1" t="s">
        <v>496</v>
      </c>
      <c r="CD338" s="1" t="s">
        <v>4188</v>
      </c>
      <c r="CE338" s="1" t="s">
        <v>478</v>
      </c>
      <c r="CF338" s="6">
        <v>2750353.18</v>
      </c>
      <c r="CG338" s="6">
        <v>3781384.72</v>
      </c>
      <c r="CH338" s="1" t="s">
        <v>4189</v>
      </c>
      <c r="CI338" s="1" t="s">
        <v>4190</v>
      </c>
      <c r="CJ338" s="6">
        <v>3781384.72</v>
      </c>
      <c r="CK338" s="6">
        <v>3781384.72</v>
      </c>
      <c r="CL338" s="4">
        <v>378138472</v>
      </c>
      <c r="CM338" s="4">
        <v>378138472</v>
      </c>
      <c r="CN338" s="4">
        <v>378138472</v>
      </c>
      <c r="CO338" s="4">
        <v>378138472</v>
      </c>
      <c r="CP338" s="4">
        <v>378138472</v>
      </c>
      <c r="CQ338" s="4">
        <v>378138472</v>
      </c>
      <c r="CR338" s="1" t="s">
        <v>139</v>
      </c>
      <c r="CS338" s="1" t="s">
        <v>140</v>
      </c>
      <c r="CT338" s="1" t="s">
        <v>4191</v>
      </c>
      <c r="CU338" s="1" t="s">
        <v>249</v>
      </c>
      <c r="CV338" s="1" t="s">
        <v>3850</v>
      </c>
      <c r="CW338" s="1" t="s">
        <v>284</v>
      </c>
      <c r="CX338" s="1" t="s">
        <v>4192</v>
      </c>
      <c r="CY338" s="1" t="s">
        <v>276</v>
      </c>
      <c r="CZ338" s="1" t="s">
        <v>144</v>
      </c>
      <c r="DA338" s="1" t="s">
        <v>145</v>
      </c>
    </row>
    <row r="339" spans="1:105" s="3" customFormat="1" ht="11.25" customHeight="1" x14ac:dyDescent="0.2">
      <c r="A339" s="3">
        <v>41</v>
      </c>
      <c r="B339" s="3" t="s">
        <v>4194</v>
      </c>
      <c r="C339" s="3" t="s">
        <v>4193</v>
      </c>
      <c r="D339" s="3">
        <v>5628</v>
      </c>
      <c r="E339" s="2" t="s">
        <v>4201</v>
      </c>
      <c r="F339" s="1" t="s">
        <v>106</v>
      </c>
      <c r="G339" s="1" t="s">
        <v>4195</v>
      </c>
      <c r="H339" s="1" t="s">
        <v>4196</v>
      </c>
      <c r="I339" s="1" t="s">
        <v>2412</v>
      </c>
      <c r="J339" s="1" t="s">
        <v>106</v>
      </c>
      <c r="K339" s="1" t="s">
        <v>4193</v>
      </c>
      <c r="L339" s="1" t="s">
        <v>111</v>
      </c>
      <c r="M339" s="1" t="s">
        <v>191</v>
      </c>
      <c r="N339" s="1" t="s">
        <v>112</v>
      </c>
      <c r="O339" s="1" t="s">
        <v>106</v>
      </c>
      <c r="P339" s="1" t="s">
        <v>113</v>
      </c>
      <c r="Q339" s="1" t="s">
        <v>1298</v>
      </c>
      <c r="R339" s="1" t="s">
        <v>157</v>
      </c>
      <c r="S339" s="1" t="s">
        <v>724</v>
      </c>
      <c r="T339" s="1" t="s">
        <v>113</v>
      </c>
      <c r="U339" s="1" t="s">
        <v>724</v>
      </c>
      <c r="V339" s="1" t="s">
        <v>4197</v>
      </c>
      <c r="W339" s="1" t="s">
        <v>115</v>
      </c>
      <c r="X339" s="1" t="s">
        <v>113</v>
      </c>
      <c r="Y339" s="1" t="s">
        <v>724</v>
      </c>
      <c r="Z339" s="1">
        <v>100</v>
      </c>
      <c r="AA339" s="1" t="s">
        <v>116</v>
      </c>
      <c r="AB339" s="1" t="s">
        <v>128</v>
      </c>
      <c r="AC339" s="1" t="s">
        <v>118</v>
      </c>
      <c r="AD339" s="1">
        <v>60</v>
      </c>
      <c r="AE339" s="1" t="s">
        <v>116</v>
      </c>
      <c r="AF339" s="1">
        <v>80</v>
      </c>
      <c r="AG339" s="1" t="s">
        <v>113</v>
      </c>
      <c r="AH339" s="1">
        <v>20</v>
      </c>
      <c r="AI339" s="1">
        <v>40</v>
      </c>
      <c r="AJ339" s="1">
        <v>20</v>
      </c>
      <c r="AK339" s="1" t="s">
        <v>626</v>
      </c>
      <c r="AL339" s="1">
        <v>372</v>
      </c>
      <c r="AM339" s="1" t="s">
        <v>131</v>
      </c>
      <c r="AN339" s="1">
        <v>372</v>
      </c>
      <c r="AO339" s="1" t="s">
        <v>113</v>
      </c>
      <c r="AP339" s="1" t="s">
        <v>106</v>
      </c>
      <c r="AQ339" s="1" t="s">
        <v>4198</v>
      </c>
      <c r="AR339" s="1" t="s">
        <v>4199</v>
      </c>
      <c r="AS339" s="1" t="s">
        <v>4200</v>
      </c>
      <c r="AT339" s="1" t="s">
        <v>1541</v>
      </c>
      <c r="AU339" s="1" t="s">
        <v>113</v>
      </c>
      <c r="AV339" s="1" t="s">
        <v>113</v>
      </c>
      <c r="AW339" s="1" t="s">
        <v>124</v>
      </c>
      <c r="AX339" s="1" t="s">
        <v>165</v>
      </c>
      <c r="AY339" s="1">
        <v>122</v>
      </c>
      <c r="AZ339" s="1" t="s">
        <v>113</v>
      </c>
      <c r="BA339" s="1" t="s">
        <v>113</v>
      </c>
      <c r="BB339" s="1" t="s">
        <v>125</v>
      </c>
      <c r="BC339" s="1" t="s">
        <v>166</v>
      </c>
      <c r="BD339" s="1">
        <v>120</v>
      </c>
      <c r="BE339" s="1">
        <v>100</v>
      </c>
      <c r="BF339" s="1" t="s">
        <v>630</v>
      </c>
      <c r="BG339" s="1" t="s">
        <v>116</v>
      </c>
      <c r="BH339" s="1" t="s">
        <v>168</v>
      </c>
      <c r="BI339" s="1" t="s">
        <v>169</v>
      </c>
      <c r="BJ339" s="1" t="s">
        <v>208</v>
      </c>
      <c r="BK339" s="1">
        <v>100</v>
      </c>
      <c r="BL339" s="1" t="s">
        <v>270</v>
      </c>
      <c r="BM339" s="1" t="s">
        <v>210</v>
      </c>
      <c r="BN339" s="1" t="s">
        <v>143</v>
      </c>
      <c r="BO339" s="1">
        <v>8</v>
      </c>
      <c r="BP339" s="1" t="s">
        <v>947</v>
      </c>
      <c r="BQ339" s="1" t="s">
        <v>4201</v>
      </c>
      <c r="BR339" s="1" t="s">
        <v>4202</v>
      </c>
      <c r="BS339" s="1" t="s">
        <v>4203</v>
      </c>
      <c r="BT339" s="1" t="s">
        <v>131</v>
      </c>
      <c r="BU339" s="1" t="s">
        <v>632</v>
      </c>
      <c r="BV339" s="1" t="s">
        <v>2936</v>
      </c>
      <c r="BW339" s="1" t="s">
        <v>134</v>
      </c>
      <c r="BX339" s="1" t="s">
        <v>767</v>
      </c>
      <c r="BY339" s="1" t="s">
        <v>299</v>
      </c>
      <c r="BZ339" s="1" t="s">
        <v>4204</v>
      </c>
      <c r="CA339" s="1">
        <v>288</v>
      </c>
      <c r="CB339" s="1" t="s">
        <v>176</v>
      </c>
      <c r="CC339" s="1" t="s">
        <v>301</v>
      </c>
      <c r="CE339" s="1" t="s">
        <v>179</v>
      </c>
      <c r="CF339" s="6">
        <v>351500</v>
      </c>
      <c r="CG339" s="6">
        <v>265120</v>
      </c>
      <c r="CH339" s="6">
        <v>19813</v>
      </c>
      <c r="CI339" s="1">
        <v>0</v>
      </c>
      <c r="CJ339" s="1">
        <v>0</v>
      </c>
      <c r="CK339" s="1">
        <v>5000</v>
      </c>
      <c r="CL339" s="1">
        <v>5000</v>
      </c>
      <c r="CM339" s="1">
        <v>0</v>
      </c>
      <c r="CN339" s="1">
        <v>26712000</v>
      </c>
      <c r="CO339" s="1">
        <v>0</v>
      </c>
      <c r="CP339" s="1">
        <v>0</v>
      </c>
      <c r="CQ339" s="1">
        <v>0</v>
      </c>
      <c r="CR339" s="1" t="s">
        <v>418</v>
      </c>
      <c r="CS339" s="1" t="s">
        <v>140</v>
      </c>
      <c r="CT339" s="1" t="s">
        <v>4205</v>
      </c>
      <c r="CU339" s="1" t="s">
        <v>460</v>
      </c>
      <c r="CV339" s="1" t="s">
        <v>310</v>
      </c>
      <c r="CW339" s="1" t="s">
        <v>251</v>
      </c>
      <c r="CX339" s="1" t="s">
        <v>1475</v>
      </c>
      <c r="CY339" s="1" t="s">
        <v>1475</v>
      </c>
      <c r="CZ339" s="1" t="s">
        <v>144</v>
      </c>
      <c r="DA339" s="1" t="s">
        <v>145</v>
      </c>
    </row>
    <row r="340" spans="1:105" s="3" customFormat="1" ht="11.25" customHeight="1" x14ac:dyDescent="0.2">
      <c r="A340" s="3">
        <v>41</v>
      </c>
      <c r="B340" s="3" t="s">
        <v>4207</v>
      </c>
      <c r="C340" s="3" t="s">
        <v>4206</v>
      </c>
      <c r="D340" s="3">
        <v>45534</v>
      </c>
      <c r="E340" s="2" t="s">
        <v>4201</v>
      </c>
      <c r="F340" s="1" t="s">
        <v>113</v>
      </c>
      <c r="H340" s="1" t="s">
        <v>4208</v>
      </c>
      <c r="I340" s="1" t="s">
        <v>4209</v>
      </c>
      <c r="J340" s="1" t="s">
        <v>113</v>
      </c>
      <c r="L340" s="1" t="s">
        <v>111</v>
      </c>
      <c r="M340" s="1" t="s">
        <v>111</v>
      </c>
      <c r="N340" s="1" t="s">
        <v>111</v>
      </c>
      <c r="O340" s="1" t="s">
        <v>106</v>
      </c>
      <c r="P340" s="1" t="s">
        <v>113</v>
      </c>
      <c r="Q340" s="1" t="s">
        <v>195</v>
      </c>
      <c r="R340" s="1" t="s">
        <v>4210</v>
      </c>
      <c r="S340" s="1" t="s">
        <v>373</v>
      </c>
      <c r="T340" s="1" t="s">
        <v>106</v>
      </c>
      <c r="U340" s="1" t="s">
        <v>114</v>
      </c>
      <c r="V340" s="1" t="s">
        <v>4211</v>
      </c>
      <c r="W340" s="1" t="s">
        <v>115</v>
      </c>
      <c r="X340" s="1" t="s">
        <v>106</v>
      </c>
      <c r="Y340" s="1" t="s">
        <v>373</v>
      </c>
      <c r="Z340" s="1">
        <v>100</v>
      </c>
      <c r="AA340" s="1" t="s">
        <v>132</v>
      </c>
      <c r="AB340" s="1" t="s">
        <v>117</v>
      </c>
      <c r="AC340" s="1" t="s">
        <v>118</v>
      </c>
      <c r="AD340" s="1">
        <v>40</v>
      </c>
      <c r="AE340" s="1" t="s">
        <v>132</v>
      </c>
      <c r="AF340" s="1">
        <v>8943</v>
      </c>
      <c r="AG340" s="1" t="s">
        <v>113</v>
      </c>
      <c r="AH340" s="1">
        <v>0</v>
      </c>
      <c r="AI340" s="1">
        <v>0</v>
      </c>
      <c r="AJ340" s="1">
        <v>0</v>
      </c>
      <c r="AK340" s="1" t="s">
        <v>119</v>
      </c>
      <c r="AL340" s="1">
        <v>0</v>
      </c>
      <c r="AM340" s="1" t="s">
        <v>2671</v>
      </c>
      <c r="AN340" s="1">
        <v>0</v>
      </c>
      <c r="AO340" s="1" t="s">
        <v>113</v>
      </c>
      <c r="AP340" s="1" t="s">
        <v>106</v>
      </c>
      <c r="AQ340" s="1" t="s">
        <v>114</v>
      </c>
      <c r="AR340" s="1" t="s">
        <v>4212</v>
      </c>
      <c r="AS340" s="1" t="s">
        <v>4213</v>
      </c>
      <c r="AT340" s="1" t="s">
        <v>123</v>
      </c>
      <c r="AU340" s="1" t="s">
        <v>106</v>
      </c>
      <c r="AV340" s="1" t="s">
        <v>113</v>
      </c>
      <c r="AW340" s="1" t="s">
        <v>234</v>
      </c>
      <c r="AX340" s="1" t="s">
        <v>206</v>
      </c>
      <c r="AY340" s="1">
        <v>0</v>
      </c>
      <c r="AZ340" s="1" t="s">
        <v>113</v>
      </c>
      <c r="BA340" s="1" t="s">
        <v>113</v>
      </c>
      <c r="BB340" s="1" t="s">
        <v>125</v>
      </c>
      <c r="BC340" s="1" t="s">
        <v>166</v>
      </c>
      <c r="BD340" s="1">
        <v>0</v>
      </c>
      <c r="BE340" s="1">
        <v>100</v>
      </c>
      <c r="BF340" s="1" t="s">
        <v>630</v>
      </c>
      <c r="BG340" s="1" t="s">
        <v>268</v>
      </c>
      <c r="BH340" s="1" t="s">
        <v>269</v>
      </c>
      <c r="BI340" s="1" t="s">
        <v>269</v>
      </c>
      <c r="BJ340" s="1" t="s">
        <v>208</v>
      </c>
      <c r="BK340" s="1">
        <v>100</v>
      </c>
      <c r="BL340" s="1" t="s">
        <v>270</v>
      </c>
      <c r="BM340" s="1" t="s">
        <v>271</v>
      </c>
      <c r="BN340" s="1" t="s">
        <v>143</v>
      </c>
      <c r="BO340" s="1" t="s">
        <v>143</v>
      </c>
      <c r="BP340" s="9" t="s">
        <v>4214</v>
      </c>
      <c r="BQ340" s="9" t="s">
        <v>4215</v>
      </c>
      <c r="BR340" s="9" t="s">
        <v>4216</v>
      </c>
      <c r="BS340" s="9" t="s">
        <v>4217</v>
      </c>
      <c r="BT340" s="1" t="s">
        <v>172</v>
      </c>
      <c r="BU340" s="1" t="s">
        <v>132</v>
      </c>
      <c r="BV340" s="1" t="s">
        <v>594</v>
      </c>
      <c r="BW340" s="1" t="s">
        <v>134</v>
      </c>
      <c r="BX340" s="1" t="s">
        <v>135</v>
      </c>
      <c r="BY340" s="1" t="s">
        <v>135</v>
      </c>
      <c r="BZ340" s="1" t="s">
        <v>4218</v>
      </c>
      <c r="CA340" s="1">
        <v>8943</v>
      </c>
      <c r="CB340" s="1" t="s">
        <v>137</v>
      </c>
      <c r="CC340" s="1" t="s">
        <v>301</v>
      </c>
      <c r="CD340" s="1" t="s">
        <v>4219</v>
      </c>
      <c r="CE340" s="1" t="s">
        <v>179</v>
      </c>
      <c r="CF340" s="1">
        <v>0</v>
      </c>
      <c r="CG340" s="1">
        <v>4197005.76</v>
      </c>
      <c r="CH340" s="1">
        <v>2170205.7599999998</v>
      </c>
      <c r="CI340" s="1">
        <v>0</v>
      </c>
      <c r="CJ340" s="1">
        <v>2026800</v>
      </c>
      <c r="CK340" s="1">
        <v>1312239.8999999999</v>
      </c>
      <c r="CL340" s="1">
        <v>0</v>
      </c>
      <c r="CM340" s="1">
        <v>0</v>
      </c>
      <c r="CN340" s="1">
        <v>688132</v>
      </c>
      <c r="CO340" s="1">
        <v>0</v>
      </c>
      <c r="CP340" s="1">
        <v>0</v>
      </c>
      <c r="CQ340" s="1">
        <v>0</v>
      </c>
      <c r="CR340" s="1" t="s">
        <v>139</v>
      </c>
      <c r="CS340" s="1" t="s">
        <v>140</v>
      </c>
      <c r="CT340" s="1" t="s">
        <v>4220</v>
      </c>
      <c r="CW340" s="1" t="s">
        <v>420</v>
      </c>
      <c r="CX340" s="1" t="s">
        <v>4221</v>
      </c>
      <c r="CY340" s="1" t="s">
        <v>4222</v>
      </c>
      <c r="CZ340" s="1" t="s">
        <v>144</v>
      </c>
      <c r="DA340" s="1" t="s">
        <v>145</v>
      </c>
    </row>
    <row r="341" spans="1:105" s="3" customFormat="1" ht="11.25" customHeight="1" x14ac:dyDescent="0.2">
      <c r="A341" s="3">
        <v>41</v>
      </c>
      <c r="B341" s="3" t="s">
        <v>4224</v>
      </c>
      <c r="C341" s="3" t="s">
        <v>4223</v>
      </c>
      <c r="D341" s="3">
        <v>2496</v>
      </c>
      <c r="E341" s="2" t="s">
        <v>4201</v>
      </c>
      <c r="F341" s="1" t="s">
        <v>106</v>
      </c>
      <c r="G341" s="1" t="s">
        <v>254</v>
      </c>
      <c r="H341" s="1" t="s">
        <v>4225</v>
      </c>
      <c r="I341" s="1" t="s">
        <v>4226</v>
      </c>
      <c r="J341" s="1" t="s">
        <v>106</v>
      </c>
      <c r="K341" s="1" t="s">
        <v>3063</v>
      </c>
      <c r="L341" s="1" t="s">
        <v>111</v>
      </c>
      <c r="M341" s="1" t="s">
        <v>4227</v>
      </c>
      <c r="N341" s="1" t="s">
        <v>3674</v>
      </c>
      <c r="O341" s="1" t="s">
        <v>106</v>
      </c>
      <c r="P341" s="1" t="s">
        <v>113</v>
      </c>
      <c r="Q341" s="1" t="s">
        <v>195</v>
      </c>
      <c r="R341" s="1" t="s">
        <v>4228</v>
      </c>
      <c r="S341" s="1" t="s">
        <v>4229</v>
      </c>
      <c r="T341" s="1" t="s">
        <v>106</v>
      </c>
      <c r="U341" s="1" t="s">
        <v>4230</v>
      </c>
      <c r="V341" s="1" t="s">
        <v>4231</v>
      </c>
      <c r="W341" s="1" t="s">
        <v>115</v>
      </c>
      <c r="X341" s="1" t="s">
        <v>106</v>
      </c>
      <c r="Y341" s="1" t="s">
        <v>4230</v>
      </c>
      <c r="Z341" s="1">
        <v>100</v>
      </c>
      <c r="AA341" s="1" t="s">
        <v>116</v>
      </c>
      <c r="AB341" s="1" t="s">
        <v>128</v>
      </c>
      <c r="AC341" s="1" t="s">
        <v>118</v>
      </c>
      <c r="AD341" s="1">
        <v>30</v>
      </c>
      <c r="AE341" s="1" t="s">
        <v>116</v>
      </c>
      <c r="AF341" s="1">
        <v>250</v>
      </c>
      <c r="AG341" s="1" t="s">
        <v>113</v>
      </c>
      <c r="AH341" s="1">
        <v>0</v>
      </c>
      <c r="AI341" s="1">
        <v>0</v>
      </c>
      <c r="AJ341" s="1">
        <v>0</v>
      </c>
      <c r="AK341" s="1" t="s">
        <v>648</v>
      </c>
      <c r="AL341" s="1">
        <v>100</v>
      </c>
      <c r="AM341" s="1" t="s">
        <v>535</v>
      </c>
      <c r="AN341" s="1">
        <v>0</v>
      </c>
      <c r="AO341" s="1" t="s">
        <v>113</v>
      </c>
      <c r="AP341" s="1" t="s">
        <v>106</v>
      </c>
      <c r="AQ341" s="1" t="s">
        <v>290</v>
      </c>
      <c r="AR341" s="1" t="s">
        <v>4232</v>
      </c>
      <c r="AS341" s="1" t="s">
        <v>290</v>
      </c>
      <c r="AT341" s="1" t="s">
        <v>123</v>
      </c>
      <c r="AU341" s="1" t="s">
        <v>113</v>
      </c>
      <c r="AV341" s="1" t="s">
        <v>113</v>
      </c>
      <c r="AW341" s="1" t="s">
        <v>2293</v>
      </c>
      <c r="AX341" s="1" t="s">
        <v>946</v>
      </c>
      <c r="AY341" s="1">
        <v>100</v>
      </c>
      <c r="AZ341" s="1" t="s">
        <v>113</v>
      </c>
      <c r="BA341" s="1" t="s">
        <v>113</v>
      </c>
      <c r="BB341" s="1" t="s">
        <v>125</v>
      </c>
      <c r="BC341" s="1" t="s">
        <v>166</v>
      </c>
      <c r="BD341" s="1">
        <v>0</v>
      </c>
      <c r="BE341" s="1">
        <v>100</v>
      </c>
      <c r="BF341" s="1" t="s">
        <v>167</v>
      </c>
      <c r="BG341" s="1" t="s">
        <v>116</v>
      </c>
      <c r="BH341" s="1" t="s">
        <v>168</v>
      </c>
      <c r="BI341" s="1" t="s">
        <v>168</v>
      </c>
      <c r="BJ341" s="1" t="s">
        <v>208</v>
      </c>
      <c r="BK341" s="1">
        <v>30</v>
      </c>
      <c r="BL341" s="1" t="s">
        <v>167</v>
      </c>
      <c r="BM341" s="1" t="s">
        <v>210</v>
      </c>
      <c r="BN341" s="1" t="s">
        <v>652</v>
      </c>
      <c r="BO341" s="1">
        <v>0</v>
      </c>
      <c r="BP341" s="1" t="s">
        <v>115</v>
      </c>
      <c r="BQ341" s="1" t="s">
        <v>3063</v>
      </c>
      <c r="BR341" s="1" t="s">
        <v>290</v>
      </c>
      <c r="BS341" s="1" t="s">
        <v>4233</v>
      </c>
      <c r="BT341" s="1" t="s">
        <v>535</v>
      </c>
      <c r="BU341" s="1" t="s">
        <v>1239</v>
      </c>
      <c r="BV341" s="1" t="s">
        <v>4234</v>
      </c>
      <c r="BW341" s="1" t="s">
        <v>134</v>
      </c>
      <c r="BX341" s="1" t="s">
        <v>290</v>
      </c>
      <c r="BY341" s="1" t="s">
        <v>135</v>
      </c>
      <c r="BZ341" s="1" t="s">
        <v>290</v>
      </c>
      <c r="CA341" s="1">
        <v>450</v>
      </c>
      <c r="CB341" s="1" t="s">
        <v>176</v>
      </c>
      <c r="CC341" s="1" t="s">
        <v>177</v>
      </c>
      <c r="CD341" s="1" t="s">
        <v>4235</v>
      </c>
      <c r="CE341" s="1" t="s">
        <v>478</v>
      </c>
      <c r="CF341" s="1">
        <v>50400</v>
      </c>
      <c r="CG341" s="1" t="s">
        <v>4236</v>
      </c>
      <c r="CH341" s="1" t="s">
        <v>4236</v>
      </c>
      <c r="CI341" s="1" t="s">
        <v>4236</v>
      </c>
      <c r="CJ341" s="1" t="s">
        <v>4236</v>
      </c>
      <c r="CK341" s="1" t="s">
        <v>4236</v>
      </c>
      <c r="CL341" s="1">
        <v>0</v>
      </c>
      <c r="CM341" s="1">
        <v>0</v>
      </c>
      <c r="CN341" s="1">
        <v>0</v>
      </c>
      <c r="CO341" s="1">
        <v>0</v>
      </c>
      <c r="CP341" s="1">
        <v>0</v>
      </c>
      <c r="CQ341" s="1">
        <v>0</v>
      </c>
      <c r="CR341" s="1" t="s">
        <v>139</v>
      </c>
      <c r="CS341" s="1" t="s">
        <v>308</v>
      </c>
      <c r="CT341" s="1" t="s">
        <v>4237</v>
      </c>
      <c r="CU341" s="1" t="s">
        <v>460</v>
      </c>
      <c r="CV341" s="1" t="s">
        <v>4238</v>
      </c>
      <c r="CW341" s="1" t="s">
        <v>141</v>
      </c>
      <c r="CX341" s="1" t="s">
        <v>290</v>
      </c>
      <c r="CY341" s="1" t="s">
        <v>652</v>
      </c>
      <c r="CZ341" s="1" t="s">
        <v>144</v>
      </c>
      <c r="DA341" s="1" t="s">
        <v>145</v>
      </c>
    </row>
    <row r="342" spans="1:105" s="3" customFormat="1" ht="11.25" customHeight="1" x14ac:dyDescent="0.2">
      <c r="A342" s="3">
        <v>41</v>
      </c>
      <c r="B342" s="3" t="s">
        <v>4240</v>
      </c>
      <c r="C342" s="3" t="s">
        <v>4239</v>
      </c>
      <c r="D342" s="3">
        <v>2116</v>
      </c>
      <c r="E342" s="2" t="s">
        <v>4201</v>
      </c>
      <c r="F342" s="1" t="s">
        <v>113</v>
      </c>
      <c r="H342" s="5" t="s">
        <v>1657</v>
      </c>
      <c r="I342" s="1" t="s">
        <v>193</v>
      </c>
      <c r="J342" s="1" t="s">
        <v>113</v>
      </c>
      <c r="L342" s="1" t="s">
        <v>111</v>
      </c>
      <c r="M342" s="1" t="s">
        <v>4241</v>
      </c>
      <c r="N342" s="1" t="s">
        <v>112</v>
      </c>
      <c r="O342" s="1" t="s">
        <v>113</v>
      </c>
      <c r="P342" s="1" t="s">
        <v>113</v>
      </c>
      <c r="Q342" s="1" t="s">
        <v>1298</v>
      </c>
      <c r="R342" s="1" t="s">
        <v>4242</v>
      </c>
      <c r="S342" s="1" t="s">
        <v>157</v>
      </c>
      <c r="T342" s="1" t="s">
        <v>113</v>
      </c>
      <c r="U342" s="1" t="s">
        <v>157</v>
      </c>
      <c r="V342" s="1" t="s">
        <v>2580</v>
      </c>
      <c r="W342" s="1" t="s">
        <v>115</v>
      </c>
      <c r="X342" s="1" t="s">
        <v>113</v>
      </c>
      <c r="Z342" s="1">
        <v>50</v>
      </c>
      <c r="AA342" s="1" t="s">
        <v>116</v>
      </c>
      <c r="AB342" s="1" t="s">
        <v>128</v>
      </c>
      <c r="AC342" s="1" t="s">
        <v>118</v>
      </c>
      <c r="AD342" s="1">
        <v>1</v>
      </c>
      <c r="AE342" s="1" t="s">
        <v>116</v>
      </c>
      <c r="AF342" s="1">
        <v>1</v>
      </c>
      <c r="AG342" s="1" t="s">
        <v>113</v>
      </c>
      <c r="AH342" s="1">
        <v>0</v>
      </c>
      <c r="AI342" s="1">
        <v>0</v>
      </c>
      <c r="AJ342" s="1">
        <v>0</v>
      </c>
      <c r="AK342" s="1" t="s">
        <v>408</v>
      </c>
      <c r="AL342" s="1">
        <v>100</v>
      </c>
      <c r="AM342" s="1" t="s">
        <v>4243</v>
      </c>
      <c r="AN342" s="1">
        <v>100</v>
      </c>
      <c r="AO342" s="1" t="s">
        <v>113</v>
      </c>
      <c r="AP342" s="1" t="s">
        <v>113</v>
      </c>
      <c r="AQ342" s="1" t="s">
        <v>114</v>
      </c>
      <c r="AR342" s="1" t="s">
        <v>114</v>
      </c>
      <c r="AS342" s="1" t="s">
        <v>114</v>
      </c>
      <c r="AT342" s="1" t="s">
        <v>123</v>
      </c>
      <c r="AU342" s="1" t="s">
        <v>113</v>
      </c>
      <c r="AV342" s="1" t="s">
        <v>113</v>
      </c>
      <c r="AW342" s="1" t="s">
        <v>234</v>
      </c>
      <c r="AX342" s="1" t="s">
        <v>1594</v>
      </c>
      <c r="AY342" s="1">
        <v>0</v>
      </c>
      <c r="AZ342" s="1" t="s">
        <v>113</v>
      </c>
      <c r="BA342" s="1" t="s">
        <v>113</v>
      </c>
      <c r="BB342" s="1" t="s">
        <v>125</v>
      </c>
      <c r="BC342" s="1" t="s">
        <v>166</v>
      </c>
      <c r="BD342" s="1">
        <v>0</v>
      </c>
      <c r="BE342" s="1">
        <v>100</v>
      </c>
      <c r="BF342" s="1" t="s">
        <v>4244</v>
      </c>
      <c r="BG342" s="1" t="s">
        <v>4245</v>
      </c>
      <c r="BH342" s="1" t="s">
        <v>207</v>
      </c>
      <c r="BI342" s="1" t="s">
        <v>207</v>
      </c>
      <c r="BJ342" s="1" t="s">
        <v>128</v>
      </c>
      <c r="BK342" s="1">
        <v>0</v>
      </c>
      <c r="BL342" s="1" t="s">
        <v>127</v>
      </c>
      <c r="BM342" s="1" t="s">
        <v>114</v>
      </c>
      <c r="BN342" s="1" t="s">
        <v>143</v>
      </c>
      <c r="BO342" s="1">
        <v>3</v>
      </c>
      <c r="BP342" s="1" t="s">
        <v>115</v>
      </c>
      <c r="BQ342" s="1" t="s">
        <v>4246</v>
      </c>
      <c r="BR342" s="1" t="s">
        <v>114</v>
      </c>
      <c r="BS342" s="1" t="s">
        <v>4247</v>
      </c>
      <c r="BT342" s="1" t="s">
        <v>172</v>
      </c>
      <c r="BU342" s="1" t="s">
        <v>132</v>
      </c>
      <c r="BV342" s="1" t="s">
        <v>1741</v>
      </c>
      <c r="BW342" s="1" t="s">
        <v>134</v>
      </c>
      <c r="BX342" s="1" t="s">
        <v>135</v>
      </c>
      <c r="BY342" s="1" t="s">
        <v>135</v>
      </c>
      <c r="BZ342" s="1" t="s">
        <v>157</v>
      </c>
      <c r="CA342" s="1">
        <v>360</v>
      </c>
      <c r="CB342" s="1" t="s">
        <v>137</v>
      </c>
      <c r="CC342" s="1" t="s">
        <v>138</v>
      </c>
      <c r="CF342" s="1">
        <v>0</v>
      </c>
      <c r="CG342" s="1">
        <v>100000</v>
      </c>
      <c r="CH342" s="1">
        <v>0</v>
      </c>
      <c r="CI342" s="1">
        <v>0</v>
      </c>
      <c r="CJ342" s="1">
        <v>165</v>
      </c>
      <c r="CK342" s="1">
        <v>10</v>
      </c>
      <c r="CL342" s="1">
        <v>10</v>
      </c>
      <c r="CM342" s="1">
        <v>10</v>
      </c>
      <c r="CN342" s="1">
        <v>10</v>
      </c>
      <c r="CO342" s="1">
        <v>10</v>
      </c>
      <c r="CP342" s="1">
        <v>10</v>
      </c>
      <c r="CQ342" s="1">
        <v>10</v>
      </c>
      <c r="CR342" s="1" t="s">
        <v>139</v>
      </c>
      <c r="CS342" s="1" t="s">
        <v>308</v>
      </c>
      <c r="CT342" s="1" t="s">
        <v>4248</v>
      </c>
      <c r="CV342" s="1" t="s">
        <v>3475</v>
      </c>
      <c r="CW342" s="1" t="s">
        <v>420</v>
      </c>
      <c r="CX342" s="1" t="s">
        <v>724</v>
      </c>
      <c r="CY342" s="1" t="s">
        <v>4242</v>
      </c>
      <c r="CZ342" s="1" t="s">
        <v>144</v>
      </c>
      <c r="DA342" s="1" t="s">
        <v>145</v>
      </c>
    </row>
    <row r="343" spans="1:105" s="3" customFormat="1" ht="11.25" customHeight="1" x14ac:dyDescent="0.2">
      <c r="A343" s="3">
        <v>41</v>
      </c>
      <c r="B343" s="3" t="s">
        <v>4250</v>
      </c>
      <c r="C343" s="3" t="s">
        <v>4249</v>
      </c>
      <c r="D343" s="3">
        <v>24644</v>
      </c>
      <c r="E343" s="2" t="s">
        <v>4201</v>
      </c>
      <c r="F343" s="1" t="s">
        <v>113</v>
      </c>
      <c r="G343" s="1" t="s">
        <v>190</v>
      </c>
      <c r="H343" s="1" t="s">
        <v>313</v>
      </c>
      <c r="I343" s="1" t="s">
        <v>193</v>
      </c>
      <c r="J343" s="1" t="s">
        <v>113</v>
      </c>
      <c r="L343" s="1" t="s">
        <v>111</v>
      </c>
      <c r="M343" s="1" t="s">
        <v>736</v>
      </c>
      <c r="N343" s="1" t="s">
        <v>112</v>
      </c>
      <c r="O343" s="1" t="s">
        <v>113</v>
      </c>
      <c r="P343" s="1" t="s">
        <v>113</v>
      </c>
      <c r="Q343" s="1" t="s">
        <v>195</v>
      </c>
      <c r="R343" s="1" t="s">
        <v>409</v>
      </c>
      <c r="S343" s="1" t="s">
        <v>409</v>
      </c>
      <c r="T343" s="1" t="s">
        <v>106</v>
      </c>
      <c r="U343" s="1" t="s">
        <v>409</v>
      </c>
      <c r="V343" s="1" t="s">
        <v>4251</v>
      </c>
      <c r="W343" s="1" t="s">
        <v>115</v>
      </c>
      <c r="X343" s="1" t="s">
        <v>113</v>
      </c>
      <c r="Y343" s="1" t="s">
        <v>409</v>
      </c>
      <c r="Z343" s="1">
        <v>100</v>
      </c>
      <c r="AA343" s="1" t="s">
        <v>132</v>
      </c>
      <c r="AB343" s="1" t="s">
        <v>128</v>
      </c>
      <c r="AC343" s="1" t="s">
        <v>384</v>
      </c>
      <c r="AD343" s="1">
        <v>100</v>
      </c>
      <c r="AE343" s="1" t="s">
        <v>116</v>
      </c>
      <c r="AF343" s="4">
        <v>3166</v>
      </c>
      <c r="AG343" s="1" t="s">
        <v>113</v>
      </c>
      <c r="AH343" s="1">
        <v>50</v>
      </c>
      <c r="AI343" s="1">
        <v>50</v>
      </c>
      <c r="AJ343" s="1">
        <v>50</v>
      </c>
      <c r="AK343" s="1" t="s">
        <v>119</v>
      </c>
      <c r="AL343" s="1">
        <v>0</v>
      </c>
      <c r="AM343" s="1" t="s">
        <v>127</v>
      </c>
      <c r="AN343" s="1">
        <v>0</v>
      </c>
      <c r="AO343" s="1" t="s">
        <v>113</v>
      </c>
      <c r="AP343" s="1" t="s">
        <v>113</v>
      </c>
      <c r="AQ343" s="1" t="s">
        <v>409</v>
      </c>
      <c r="AR343" s="1" t="s">
        <v>409</v>
      </c>
      <c r="AS343" s="1" t="s">
        <v>409</v>
      </c>
      <c r="AT343" s="1" t="s">
        <v>123</v>
      </c>
      <c r="AU343" s="1" t="s">
        <v>106</v>
      </c>
      <c r="AV343" s="1" t="s">
        <v>113</v>
      </c>
      <c r="AW343" s="1" t="s">
        <v>234</v>
      </c>
      <c r="AX343" s="1" t="s">
        <v>206</v>
      </c>
      <c r="AY343" s="1">
        <v>0</v>
      </c>
      <c r="AZ343" s="1" t="s">
        <v>113</v>
      </c>
      <c r="BA343" s="1" t="s">
        <v>113</v>
      </c>
      <c r="BB343" s="1" t="s">
        <v>125</v>
      </c>
      <c r="BC343" s="1" t="s">
        <v>166</v>
      </c>
      <c r="BD343" s="1">
        <v>0</v>
      </c>
      <c r="BE343" s="1">
        <v>100</v>
      </c>
      <c r="BF343" s="1" t="s">
        <v>167</v>
      </c>
      <c r="BG343" s="1" t="s">
        <v>268</v>
      </c>
      <c r="BH343" s="1" t="s">
        <v>569</v>
      </c>
      <c r="BI343" s="1" t="s">
        <v>169</v>
      </c>
      <c r="BJ343" s="1" t="s">
        <v>384</v>
      </c>
      <c r="BK343" s="1">
        <v>100</v>
      </c>
      <c r="BL343" s="1" t="s">
        <v>270</v>
      </c>
      <c r="BM343" s="1" t="s">
        <v>210</v>
      </c>
      <c r="BN343" s="5" t="s">
        <v>2511</v>
      </c>
      <c r="BO343" s="1">
        <v>17</v>
      </c>
      <c r="BP343" s="1" t="s">
        <v>115</v>
      </c>
      <c r="BQ343" s="1" t="s">
        <v>4252</v>
      </c>
      <c r="BR343" s="1" t="s">
        <v>409</v>
      </c>
      <c r="BS343" s="1" t="s">
        <v>4252</v>
      </c>
      <c r="BT343" s="1" t="s">
        <v>172</v>
      </c>
      <c r="BU343" s="1" t="s">
        <v>132</v>
      </c>
      <c r="BV343" s="1" t="s">
        <v>4253</v>
      </c>
      <c r="BW343" s="1" t="s">
        <v>4254</v>
      </c>
      <c r="BX343" s="1" t="s">
        <v>4255</v>
      </c>
      <c r="BY343" s="1" t="s">
        <v>299</v>
      </c>
      <c r="BZ343" s="1" t="s">
        <v>4256</v>
      </c>
      <c r="CA343" s="4">
        <v>3166</v>
      </c>
      <c r="CB343" s="1" t="s">
        <v>176</v>
      </c>
      <c r="CC343" s="1" t="s">
        <v>217</v>
      </c>
      <c r="CD343" s="1" t="s">
        <v>4257</v>
      </c>
      <c r="CE343" s="1" t="s">
        <v>219</v>
      </c>
      <c r="CF343" s="6">
        <v>1891074.77</v>
      </c>
      <c r="CG343" s="6">
        <v>1442911.69</v>
      </c>
      <c r="CH343" s="1">
        <v>450</v>
      </c>
      <c r="CI343" s="1" t="s">
        <v>409</v>
      </c>
      <c r="CJ343" s="1" t="s">
        <v>4258</v>
      </c>
      <c r="CK343" s="1" t="s">
        <v>4259</v>
      </c>
      <c r="CL343" s="1">
        <v>566000</v>
      </c>
      <c r="CM343" s="1">
        <v>190</v>
      </c>
      <c r="CN343" s="1">
        <v>0</v>
      </c>
      <c r="CO343" s="1">
        <v>0</v>
      </c>
      <c r="CP343" s="1">
        <v>173000</v>
      </c>
      <c r="CQ343" s="1">
        <v>0</v>
      </c>
      <c r="CR343" s="1" t="s">
        <v>4260</v>
      </c>
      <c r="CS343" s="1" t="s">
        <v>327</v>
      </c>
      <c r="CT343" s="1" t="s">
        <v>4261</v>
      </c>
      <c r="CV343" s="1" t="s">
        <v>409</v>
      </c>
      <c r="CW343" s="1" t="s">
        <v>251</v>
      </c>
      <c r="CX343" s="1" t="s">
        <v>409</v>
      </c>
      <c r="CY343" s="1" t="s">
        <v>409</v>
      </c>
      <c r="CZ343" s="1" t="s">
        <v>144</v>
      </c>
      <c r="DA343" s="1" t="s">
        <v>145</v>
      </c>
    </row>
    <row r="344" spans="1:105" s="3" customFormat="1" ht="11.25" customHeight="1" x14ac:dyDescent="0.2">
      <c r="A344" s="3">
        <v>41</v>
      </c>
      <c r="B344" s="3" t="s">
        <v>4263</v>
      </c>
      <c r="C344" s="3" t="s">
        <v>4262</v>
      </c>
      <c r="D344" s="3">
        <v>6397</v>
      </c>
      <c r="E344" s="2" t="s">
        <v>4201</v>
      </c>
      <c r="F344" s="1" t="s">
        <v>113</v>
      </c>
      <c r="G344" s="1" t="s">
        <v>190</v>
      </c>
      <c r="H344" s="1" t="s">
        <v>589</v>
      </c>
      <c r="I344" s="1" t="s">
        <v>229</v>
      </c>
      <c r="J344" s="1" t="s">
        <v>229</v>
      </c>
      <c r="L344" s="1" t="s">
        <v>111</v>
      </c>
      <c r="M344" s="1" t="s">
        <v>191</v>
      </c>
      <c r="N344" s="1" t="s">
        <v>112</v>
      </c>
      <c r="O344" s="1" t="s">
        <v>113</v>
      </c>
      <c r="P344" s="1" t="s">
        <v>113</v>
      </c>
      <c r="Q344" s="1" t="s">
        <v>1298</v>
      </c>
      <c r="R344" s="1" t="s">
        <v>114</v>
      </c>
      <c r="S344" s="1" t="s">
        <v>114</v>
      </c>
      <c r="T344" s="1" t="s">
        <v>113</v>
      </c>
      <c r="U344" s="1" t="s">
        <v>114</v>
      </c>
      <c r="V344" s="1" t="s">
        <v>2580</v>
      </c>
      <c r="W344" s="1" t="s">
        <v>115</v>
      </c>
      <c r="X344" s="1" t="s">
        <v>113</v>
      </c>
      <c r="Y344" s="1" t="s">
        <v>114</v>
      </c>
      <c r="Z344" s="1">
        <v>100</v>
      </c>
      <c r="AA344" s="1" t="s">
        <v>116</v>
      </c>
      <c r="AB344" s="1" t="s">
        <v>128</v>
      </c>
      <c r="AC344" s="1" t="s">
        <v>118</v>
      </c>
      <c r="AD344" s="1">
        <v>10</v>
      </c>
      <c r="AE344" s="1" t="s">
        <v>116</v>
      </c>
      <c r="AF344" s="1">
        <v>1072</v>
      </c>
      <c r="AG344" s="1" t="s">
        <v>113</v>
      </c>
      <c r="AH344" s="1">
        <v>0</v>
      </c>
      <c r="AI344" s="1">
        <v>0</v>
      </c>
      <c r="AJ344" s="1">
        <v>0</v>
      </c>
      <c r="AK344" s="1" t="s">
        <v>232</v>
      </c>
      <c r="AL344" s="1">
        <v>0</v>
      </c>
      <c r="AM344" s="1" t="s">
        <v>4264</v>
      </c>
      <c r="AN344" s="1">
        <v>10000</v>
      </c>
      <c r="AO344" s="1" t="s">
        <v>113</v>
      </c>
      <c r="AP344" s="1" t="s">
        <v>106</v>
      </c>
      <c r="AQ344" s="1" t="s">
        <v>4265</v>
      </c>
      <c r="AR344" s="1" t="s">
        <v>4266</v>
      </c>
      <c r="AS344" s="1" t="s">
        <v>4267</v>
      </c>
      <c r="AT344" s="1" t="s">
        <v>204</v>
      </c>
      <c r="AU344" s="1" t="s">
        <v>106</v>
      </c>
      <c r="AV344" s="1" t="s">
        <v>106</v>
      </c>
      <c r="AW344" s="1" t="s">
        <v>234</v>
      </c>
      <c r="AX344" s="1" t="s">
        <v>1113</v>
      </c>
      <c r="AY344" s="1">
        <v>1000</v>
      </c>
      <c r="AZ344" s="1" t="s">
        <v>113</v>
      </c>
      <c r="BA344" s="1" t="s">
        <v>113</v>
      </c>
      <c r="BB344" s="1" t="s">
        <v>125</v>
      </c>
      <c r="BC344" s="1" t="s">
        <v>166</v>
      </c>
      <c r="BD344" s="1">
        <v>0</v>
      </c>
      <c r="BE344" s="1">
        <v>100</v>
      </c>
      <c r="BF344" s="1" t="s">
        <v>167</v>
      </c>
      <c r="BG344" s="1" t="s">
        <v>268</v>
      </c>
      <c r="BJ344" s="1" t="s">
        <v>208</v>
      </c>
      <c r="BK344" s="1">
        <v>10</v>
      </c>
      <c r="BL344" s="1" t="s">
        <v>270</v>
      </c>
      <c r="BM344" s="1" t="s">
        <v>271</v>
      </c>
      <c r="BN344" s="1">
        <v>4</v>
      </c>
      <c r="BO344" s="1">
        <v>7</v>
      </c>
      <c r="BP344" s="1" t="s">
        <v>115</v>
      </c>
      <c r="BQ344" s="1" t="s">
        <v>4268</v>
      </c>
      <c r="BR344" s="1" t="s">
        <v>4269</v>
      </c>
      <c r="BS344" s="1" t="s">
        <v>4270</v>
      </c>
      <c r="BT344" s="1" t="s">
        <v>172</v>
      </c>
      <c r="BU344" s="1" t="s">
        <v>132</v>
      </c>
      <c r="BV344" s="1" t="s">
        <v>4271</v>
      </c>
      <c r="BW344" s="1" t="s">
        <v>298</v>
      </c>
      <c r="BX344" s="1" t="s">
        <v>325</v>
      </c>
      <c r="BY344" s="1" t="s">
        <v>299</v>
      </c>
      <c r="BZ344" s="1" t="s">
        <v>4272</v>
      </c>
      <c r="CA344" s="1">
        <v>1000</v>
      </c>
      <c r="CB344" s="1" t="s">
        <v>137</v>
      </c>
      <c r="CC344" s="1" t="s">
        <v>138</v>
      </c>
      <c r="CF344" s="1" t="s">
        <v>4273</v>
      </c>
      <c r="CG344" s="1">
        <v>278720</v>
      </c>
      <c r="CH344" s="5" t="s">
        <v>126</v>
      </c>
      <c r="CI344" s="1">
        <v>278720</v>
      </c>
      <c r="CJ344" s="5" t="s">
        <v>126</v>
      </c>
      <c r="CK344" s="1">
        <v>23500</v>
      </c>
      <c r="CL344" s="1">
        <v>23500</v>
      </c>
      <c r="CM344" s="1">
        <v>23500</v>
      </c>
      <c r="CN344" s="5" t="s">
        <v>126</v>
      </c>
      <c r="CO344" s="5" t="s">
        <v>126</v>
      </c>
      <c r="CP344" s="5" t="s">
        <v>126</v>
      </c>
      <c r="CQ344" s="5" t="s">
        <v>126</v>
      </c>
      <c r="CR344" s="1" t="s">
        <v>139</v>
      </c>
      <c r="CS344" s="1" t="s">
        <v>308</v>
      </c>
      <c r="CT344" s="1" t="s">
        <v>573</v>
      </c>
      <c r="CW344" s="1" t="s">
        <v>141</v>
      </c>
      <c r="CX344" s="1" t="s">
        <v>4274</v>
      </c>
      <c r="CY344" s="1" t="s">
        <v>143</v>
      </c>
      <c r="CZ344" s="1" t="s">
        <v>144</v>
      </c>
      <c r="DA344" s="1" t="s">
        <v>145</v>
      </c>
    </row>
    <row r="345" spans="1:105" s="3" customFormat="1" ht="11.25" customHeight="1" x14ac:dyDescent="0.2">
      <c r="A345" s="1">
        <v>41</v>
      </c>
      <c r="B345" s="1" t="s">
        <v>4275</v>
      </c>
      <c r="C345" s="1" t="s">
        <v>4276</v>
      </c>
      <c r="D345" s="1">
        <v>33752</v>
      </c>
      <c r="E345" s="2" t="s">
        <v>1688</v>
      </c>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W345" s="1"/>
      <c r="CX345" s="1"/>
      <c r="CY345" s="1"/>
      <c r="CZ345" s="1"/>
      <c r="DA345" s="1"/>
    </row>
    <row r="346" spans="1:105" s="3" customFormat="1" ht="11.25" customHeight="1" x14ac:dyDescent="0.2">
      <c r="A346" s="3">
        <v>41</v>
      </c>
      <c r="B346" s="3" t="s">
        <v>4278</v>
      </c>
      <c r="C346" s="3" t="s">
        <v>4277</v>
      </c>
      <c r="D346" s="3">
        <v>6712</v>
      </c>
      <c r="E346" s="2" t="s">
        <v>4201</v>
      </c>
      <c r="F346" s="1" t="s">
        <v>106</v>
      </c>
      <c r="G346" s="1" t="s">
        <v>254</v>
      </c>
      <c r="H346" s="1" t="s">
        <v>4279</v>
      </c>
      <c r="I346" s="1" t="s">
        <v>2158</v>
      </c>
      <c r="J346" s="1" t="s">
        <v>106</v>
      </c>
      <c r="K346" s="1" t="s">
        <v>4280</v>
      </c>
      <c r="L346" s="1" t="s">
        <v>111</v>
      </c>
      <c r="M346" s="1" t="s">
        <v>111</v>
      </c>
      <c r="N346" s="1" t="s">
        <v>112</v>
      </c>
      <c r="O346" s="1" t="s">
        <v>106</v>
      </c>
      <c r="P346" s="1" t="s">
        <v>113</v>
      </c>
      <c r="Q346" s="1" t="s">
        <v>111</v>
      </c>
      <c r="R346" s="1" t="s">
        <v>290</v>
      </c>
      <c r="S346" s="1" t="s">
        <v>290</v>
      </c>
      <c r="T346" s="1" t="s">
        <v>106</v>
      </c>
      <c r="U346" s="1" t="s">
        <v>4281</v>
      </c>
      <c r="V346" s="1" t="s">
        <v>4282</v>
      </c>
      <c r="W346" s="1" t="s">
        <v>115</v>
      </c>
      <c r="X346" s="1" t="s">
        <v>113</v>
      </c>
      <c r="Y346" s="1" t="s">
        <v>430</v>
      </c>
      <c r="Z346" s="1">
        <v>100</v>
      </c>
      <c r="AA346" s="1" t="s">
        <v>159</v>
      </c>
      <c r="AB346" s="1" t="s">
        <v>128</v>
      </c>
      <c r="AC346" s="1" t="s">
        <v>118</v>
      </c>
      <c r="AD346" s="1">
        <v>50</v>
      </c>
      <c r="AE346" s="1" t="s">
        <v>159</v>
      </c>
      <c r="AF346" s="1">
        <v>2000</v>
      </c>
      <c r="AG346" s="1" t="s">
        <v>113</v>
      </c>
      <c r="AH346" s="1">
        <v>30</v>
      </c>
      <c r="AK346" s="1" t="s">
        <v>648</v>
      </c>
      <c r="AM346" s="1" t="s">
        <v>363</v>
      </c>
      <c r="AO346" s="1" t="s">
        <v>106</v>
      </c>
      <c r="AP346" s="1" t="s">
        <v>113</v>
      </c>
      <c r="AQ346" s="1" t="s">
        <v>290</v>
      </c>
      <c r="AR346" s="1" t="s">
        <v>430</v>
      </c>
      <c r="AS346" s="1" t="s">
        <v>290</v>
      </c>
      <c r="AT346" s="1" t="s">
        <v>123</v>
      </c>
      <c r="AU346" s="1" t="s">
        <v>113</v>
      </c>
      <c r="AV346" s="1" t="s">
        <v>113</v>
      </c>
      <c r="AW346" s="1" t="s">
        <v>164</v>
      </c>
      <c r="AX346" s="1" t="s">
        <v>165</v>
      </c>
      <c r="AY346" s="1">
        <v>0</v>
      </c>
      <c r="AZ346" s="1" t="s">
        <v>113</v>
      </c>
      <c r="BA346" s="1" t="s">
        <v>113</v>
      </c>
      <c r="BB346" s="1" t="s">
        <v>125</v>
      </c>
      <c r="BD346" s="1">
        <v>0</v>
      </c>
      <c r="BE346" s="1">
        <v>100</v>
      </c>
      <c r="BF346" s="1" t="s">
        <v>167</v>
      </c>
      <c r="BG346" s="1" t="s">
        <v>116</v>
      </c>
      <c r="BJ346" s="1" t="s">
        <v>208</v>
      </c>
      <c r="BK346" s="1">
        <v>50</v>
      </c>
      <c r="BL346" s="1" t="s">
        <v>167</v>
      </c>
      <c r="BN346" s="1" t="s">
        <v>143</v>
      </c>
      <c r="BP346" s="1" t="s">
        <v>115</v>
      </c>
      <c r="BQ346" s="1" t="s">
        <v>4279</v>
      </c>
      <c r="BR346" s="1" t="s">
        <v>4283</v>
      </c>
      <c r="BS346" s="1" t="s">
        <v>3012</v>
      </c>
      <c r="BT346" s="1" t="s">
        <v>172</v>
      </c>
      <c r="BU346" s="1" t="s">
        <v>4284</v>
      </c>
      <c r="BV346" s="1" t="s">
        <v>4285</v>
      </c>
      <c r="BW346" s="1" t="s">
        <v>134</v>
      </c>
      <c r="BX346" s="1" t="s">
        <v>290</v>
      </c>
      <c r="BY346" s="1" t="s">
        <v>135</v>
      </c>
      <c r="BZ346" s="1" t="s">
        <v>290</v>
      </c>
      <c r="CA346" s="1">
        <v>2000</v>
      </c>
      <c r="CB346" s="1" t="s">
        <v>244</v>
      </c>
      <c r="CC346" s="1" t="s">
        <v>217</v>
      </c>
      <c r="CF346" s="5" t="s">
        <v>220</v>
      </c>
      <c r="CG346" s="1">
        <v>560302.67000000004</v>
      </c>
      <c r="CH346" s="1" t="s">
        <v>290</v>
      </c>
      <c r="CI346" s="1" t="s">
        <v>290</v>
      </c>
      <c r="CJ346" s="5" t="s">
        <v>220</v>
      </c>
      <c r="CK346" s="1">
        <v>44800</v>
      </c>
      <c r="CL346" s="5" t="s">
        <v>220</v>
      </c>
      <c r="CM346" s="5" t="s">
        <v>220</v>
      </c>
      <c r="CN346" s="5" t="s">
        <v>220</v>
      </c>
      <c r="CO346" s="5" t="s">
        <v>220</v>
      </c>
      <c r="CP346" s="5" t="s">
        <v>220</v>
      </c>
      <c r="CQ346" s="5" t="s">
        <v>220</v>
      </c>
      <c r="CR346" s="1" t="s">
        <v>139</v>
      </c>
      <c r="CS346" s="1" t="s">
        <v>4286</v>
      </c>
      <c r="CT346" s="1" t="s">
        <v>282</v>
      </c>
      <c r="CW346" s="1" t="s">
        <v>284</v>
      </c>
      <c r="CX346" s="1" t="s">
        <v>290</v>
      </c>
      <c r="CY346" s="1" t="s">
        <v>430</v>
      </c>
      <c r="CZ346" s="1" t="s">
        <v>144</v>
      </c>
      <c r="DA346" s="1" t="s">
        <v>145</v>
      </c>
    </row>
    <row r="347" spans="1:105" s="3" customFormat="1" ht="11.25" customHeight="1" x14ac:dyDescent="0.2">
      <c r="A347" s="3">
        <v>41</v>
      </c>
      <c r="B347" s="3" t="s">
        <v>4288</v>
      </c>
      <c r="C347" s="3" t="s">
        <v>4287</v>
      </c>
      <c r="D347" s="3">
        <v>10913</v>
      </c>
      <c r="E347" s="2" t="s">
        <v>4201</v>
      </c>
      <c r="F347" s="1" t="s">
        <v>113</v>
      </c>
      <c r="G347" s="1" t="s">
        <v>3107</v>
      </c>
      <c r="H347" s="1" t="s">
        <v>4289</v>
      </c>
      <c r="I347" s="1" t="s">
        <v>193</v>
      </c>
      <c r="J347" s="1" t="s">
        <v>113</v>
      </c>
      <c r="K347" s="1" t="s">
        <v>4290</v>
      </c>
      <c r="L347" s="1" t="s">
        <v>111</v>
      </c>
      <c r="M347" s="1" t="s">
        <v>705</v>
      </c>
      <c r="N347" s="1" t="s">
        <v>112</v>
      </c>
      <c r="O347" s="1" t="s">
        <v>106</v>
      </c>
      <c r="P347" s="1" t="s">
        <v>113</v>
      </c>
      <c r="Q347" s="1" t="s">
        <v>195</v>
      </c>
      <c r="R347" s="1" t="s">
        <v>4291</v>
      </c>
      <c r="S347" s="1" t="s">
        <v>709</v>
      </c>
      <c r="T347" s="1" t="s">
        <v>113</v>
      </c>
      <c r="U347" s="1" t="s">
        <v>157</v>
      </c>
      <c r="V347" s="1" t="s">
        <v>719</v>
      </c>
      <c r="W347" s="1" t="s">
        <v>199</v>
      </c>
      <c r="X347" s="1" t="s">
        <v>113</v>
      </c>
      <c r="Y347" s="1" t="s">
        <v>709</v>
      </c>
      <c r="Z347" s="1">
        <v>100</v>
      </c>
      <c r="AA347" s="1" t="s">
        <v>132</v>
      </c>
      <c r="AB347" s="1" t="s">
        <v>128</v>
      </c>
      <c r="AC347" s="1" t="s">
        <v>118</v>
      </c>
      <c r="AD347" s="1">
        <v>10</v>
      </c>
      <c r="AE347" s="1" t="s">
        <v>132</v>
      </c>
      <c r="AF347" s="1">
        <v>940</v>
      </c>
      <c r="AG347" s="1" t="s">
        <v>113</v>
      </c>
      <c r="AH347" s="1">
        <v>0</v>
      </c>
      <c r="AI347" s="1">
        <v>0</v>
      </c>
      <c r="AJ347" s="1">
        <v>0</v>
      </c>
      <c r="AK347" s="1" t="s">
        <v>232</v>
      </c>
      <c r="AL347" s="1">
        <v>120</v>
      </c>
      <c r="AM347" s="1" t="s">
        <v>131</v>
      </c>
      <c r="AN347" s="1">
        <v>0</v>
      </c>
      <c r="AO347" s="1" t="s">
        <v>113</v>
      </c>
      <c r="AP347" s="1" t="s">
        <v>113</v>
      </c>
      <c r="AQ347" s="1" t="s">
        <v>709</v>
      </c>
      <c r="AR347" s="1" t="s">
        <v>709</v>
      </c>
      <c r="AS347" s="1" t="s">
        <v>709</v>
      </c>
      <c r="AT347" s="1" t="s">
        <v>123</v>
      </c>
      <c r="AU347" s="1" t="s">
        <v>113</v>
      </c>
      <c r="AV347" s="1" t="s">
        <v>113</v>
      </c>
      <c r="AW347" s="1" t="s">
        <v>164</v>
      </c>
      <c r="AX347" s="1" t="s">
        <v>165</v>
      </c>
      <c r="AY347" s="1">
        <v>0</v>
      </c>
      <c r="AZ347" s="1" t="s">
        <v>113</v>
      </c>
      <c r="BA347" s="1" t="s">
        <v>113</v>
      </c>
      <c r="BB347" s="1" t="s">
        <v>125</v>
      </c>
      <c r="BC347" s="1" t="s">
        <v>166</v>
      </c>
      <c r="BD347" s="1">
        <v>0</v>
      </c>
      <c r="BE347" s="1">
        <v>100</v>
      </c>
      <c r="BF347" s="1" t="s">
        <v>167</v>
      </c>
      <c r="BG347" s="1" t="s">
        <v>268</v>
      </c>
      <c r="BH347" s="1" t="s">
        <v>169</v>
      </c>
      <c r="BI347" s="1" t="s">
        <v>169</v>
      </c>
      <c r="BJ347" s="1" t="s">
        <v>208</v>
      </c>
      <c r="BK347" s="1">
        <v>10</v>
      </c>
      <c r="BL347" s="1" t="s">
        <v>167</v>
      </c>
      <c r="BM347" s="1" t="s">
        <v>271</v>
      </c>
      <c r="BN347" s="1">
        <v>7</v>
      </c>
      <c r="BO347" s="1">
        <v>0</v>
      </c>
      <c r="BP347" s="1" t="s">
        <v>115</v>
      </c>
      <c r="BQ347" s="1" t="s">
        <v>4292</v>
      </c>
      <c r="BR347" s="1" t="s">
        <v>4293</v>
      </c>
      <c r="BS347" s="1" t="s">
        <v>4294</v>
      </c>
      <c r="BT347" s="1" t="s">
        <v>172</v>
      </c>
      <c r="BU347" s="1" t="s">
        <v>132</v>
      </c>
      <c r="BV347" s="1" t="s">
        <v>4295</v>
      </c>
      <c r="BW347" s="1" t="s">
        <v>134</v>
      </c>
      <c r="BX347" s="1" t="s">
        <v>633</v>
      </c>
      <c r="BY347" s="1" t="s">
        <v>454</v>
      </c>
      <c r="BZ347" s="1" t="s">
        <v>709</v>
      </c>
      <c r="CA347" s="1">
        <v>0</v>
      </c>
      <c r="CB347" s="1" t="s">
        <v>176</v>
      </c>
      <c r="CC347" s="1" t="s">
        <v>177</v>
      </c>
      <c r="CD347" s="1" t="s">
        <v>4296</v>
      </c>
      <c r="CE347" s="1" t="s">
        <v>179</v>
      </c>
      <c r="CF347" s="6">
        <v>567140.63</v>
      </c>
      <c r="CG347" s="6">
        <v>1089000.2</v>
      </c>
      <c r="CH347" s="1">
        <v>625</v>
      </c>
      <c r="CI347" s="1">
        <v>0</v>
      </c>
      <c r="CJ347" s="1">
        <v>140</v>
      </c>
      <c r="CK347" s="1">
        <v>305.8</v>
      </c>
      <c r="CL347" s="1">
        <v>0</v>
      </c>
      <c r="CM347" s="1">
        <v>0</v>
      </c>
      <c r="CN347" s="1">
        <v>0</v>
      </c>
      <c r="CO347" s="1">
        <v>0</v>
      </c>
      <c r="CP347" s="1">
        <v>0</v>
      </c>
      <c r="CQ347" s="1">
        <v>0</v>
      </c>
      <c r="CR347" s="1" t="s">
        <v>418</v>
      </c>
      <c r="CS347" s="1" t="s">
        <v>327</v>
      </c>
      <c r="CT347" s="1" t="s">
        <v>573</v>
      </c>
      <c r="CV347" s="1" t="s">
        <v>3524</v>
      </c>
      <c r="CW347" s="1" t="s">
        <v>284</v>
      </c>
      <c r="CX347" s="1" t="s">
        <v>4297</v>
      </c>
      <c r="CY347" s="1">
        <v>55629056</v>
      </c>
      <c r="CZ347" s="1" t="s">
        <v>144</v>
      </c>
      <c r="DA347" s="1" t="s">
        <v>145</v>
      </c>
    </row>
    <row r="348" spans="1:105" s="3" customFormat="1" ht="11.25" customHeight="1" x14ac:dyDescent="0.2">
      <c r="A348" s="3">
        <v>41</v>
      </c>
      <c r="B348" s="3" t="s">
        <v>4299</v>
      </c>
      <c r="C348" s="3" t="s">
        <v>4298</v>
      </c>
      <c r="D348" s="3">
        <v>12230</v>
      </c>
      <c r="E348" s="2" t="s">
        <v>4201</v>
      </c>
      <c r="F348" s="1" t="s">
        <v>113</v>
      </c>
      <c r="G348" s="1" t="s">
        <v>190</v>
      </c>
      <c r="H348" s="1" t="s">
        <v>4300</v>
      </c>
      <c r="I348" s="1" t="s">
        <v>229</v>
      </c>
      <c r="J348" s="1" t="s">
        <v>229</v>
      </c>
      <c r="K348" s="1" t="s">
        <v>111</v>
      </c>
      <c r="L348" s="1" t="s">
        <v>111</v>
      </c>
      <c r="M348" s="1" t="s">
        <v>111</v>
      </c>
      <c r="N348" s="1" t="s">
        <v>112</v>
      </c>
      <c r="O348" s="1" t="s">
        <v>113</v>
      </c>
      <c r="P348" s="1" t="s">
        <v>113</v>
      </c>
      <c r="Q348" s="1" t="s">
        <v>1298</v>
      </c>
      <c r="R348" s="1" t="s">
        <v>4301</v>
      </c>
      <c r="S348" s="1" t="s">
        <v>114</v>
      </c>
      <c r="T348" s="1" t="s">
        <v>113</v>
      </c>
      <c r="U348" s="1" t="s">
        <v>430</v>
      </c>
      <c r="W348" s="1" t="s">
        <v>115</v>
      </c>
      <c r="X348" s="1" t="s">
        <v>113</v>
      </c>
      <c r="Y348" s="1" t="s">
        <v>430</v>
      </c>
      <c r="Z348" s="1">
        <v>40</v>
      </c>
      <c r="AA348" s="1" t="s">
        <v>132</v>
      </c>
      <c r="AB348" s="1" t="s">
        <v>128</v>
      </c>
      <c r="AC348" s="1" t="s">
        <v>118</v>
      </c>
      <c r="AD348" s="1">
        <v>40</v>
      </c>
      <c r="AE348" s="1" t="s">
        <v>132</v>
      </c>
      <c r="AF348" s="1">
        <v>4261</v>
      </c>
      <c r="AG348" s="1" t="s">
        <v>113</v>
      </c>
      <c r="AH348" s="1">
        <v>0</v>
      </c>
      <c r="AI348" s="1">
        <v>0</v>
      </c>
      <c r="AJ348" s="1">
        <v>0</v>
      </c>
      <c r="AK348" s="1" t="s">
        <v>626</v>
      </c>
      <c r="AL348" s="1">
        <v>1702</v>
      </c>
      <c r="AM348" s="1" t="s">
        <v>4302</v>
      </c>
      <c r="AN348" s="1">
        <v>1700</v>
      </c>
      <c r="AO348" s="1" t="s">
        <v>113</v>
      </c>
      <c r="AP348" s="1" t="s">
        <v>106</v>
      </c>
      <c r="AQ348" s="1" t="s">
        <v>861</v>
      </c>
      <c r="AR348" s="1" t="s">
        <v>4303</v>
      </c>
      <c r="AS348" s="1" t="s">
        <v>4304</v>
      </c>
      <c r="AT348" s="1" t="s">
        <v>123</v>
      </c>
      <c r="AU348" s="1" t="s">
        <v>113</v>
      </c>
      <c r="AV348" s="1" t="s">
        <v>113</v>
      </c>
      <c r="AW348" s="1" t="s">
        <v>164</v>
      </c>
      <c r="AX348" s="1" t="s">
        <v>165</v>
      </c>
      <c r="AY348" s="1">
        <v>0</v>
      </c>
      <c r="AZ348" s="1" t="s">
        <v>113</v>
      </c>
      <c r="BA348" s="1" t="s">
        <v>113</v>
      </c>
      <c r="BB348" s="1" t="s">
        <v>125</v>
      </c>
      <c r="BC348" s="1" t="s">
        <v>166</v>
      </c>
      <c r="BD348" s="1">
        <v>0</v>
      </c>
      <c r="BE348" s="1">
        <v>95</v>
      </c>
      <c r="BF348" s="1" t="s">
        <v>167</v>
      </c>
      <c r="BG348" s="1" t="s">
        <v>132</v>
      </c>
      <c r="BH348" s="1" t="s">
        <v>207</v>
      </c>
      <c r="BI348" s="1" t="s">
        <v>569</v>
      </c>
      <c r="BJ348" s="1" t="s">
        <v>208</v>
      </c>
      <c r="BK348" s="1">
        <v>40</v>
      </c>
      <c r="BL348" s="1" t="s">
        <v>167</v>
      </c>
      <c r="BM348" s="1" t="s">
        <v>472</v>
      </c>
      <c r="BN348" s="1" t="s">
        <v>143</v>
      </c>
      <c r="BO348" s="1" t="s">
        <v>143</v>
      </c>
      <c r="BP348" s="1" t="s">
        <v>115</v>
      </c>
      <c r="BQ348" s="1" t="s">
        <v>4300</v>
      </c>
      <c r="BR348" s="1" t="s">
        <v>4305</v>
      </c>
      <c r="BS348" s="1" t="s">
        <v>4306</v>
      </c>
      <c r="BT348" s="1" t="s">
        <v>535</v>
      </c>
      <c r="BU348" s="1" t="s">
        <v>132</v>
      </c>
      <c r="BV348" s="1" t="s">
        <v>4307</v>
      </c>
      <c r="BW348" s="1" t="s">
        <v>298</v>
      </c>
      <c r="BX348" s="1" t="s">
        <v>4308</v>
      </c>
      <c r="BY348" s="1" t="s">
        <v>454</v>
      </c>
      <c r="BZ348" s="1" t="s">
        <v>4309</v>
      </c>
      <c r="CA348" s="1">
        <v>2800</v>
      </c>
      <c r="CB348" s="1" t="s">
        <v>176</v>
      </c>
      <c r="CC348" s="1" t="s">
        <v>177</v>
      </c>
      <c r="CE348" s="1" t="s">
        <v>179</v>
      </c>
      <c r="CF348" s="6">
        <v>942858.93</v>
      </c>
      <c r="CG348" s="6">
        <v>1780045.77</v>
      </c>
      <c r="CH348" s="1">
        <v>189</v>
      </c>
      <c r="CI348" s="1">
        <v>0</v>
      </c>
      <c r="CJ348" s="6">
        <v>1300196.82</v>
      </c>
      <c r="CK348" s="1">
        <v>0</v>
      </c>
      <c r="CL348" s="1">
        <v>0</v>
      </c>
      <c r="CM348" s="1">
        <v>0</v>
      </c>
      <c r="CN348" s="1">
        <v>45000</v>
      </c>
      <c r="CO348" s="1">
        <v>0</v>
      </c>
      <c r="CP348" s="1">
        <v>0</v>
      </c>
      <c r="CQ348" s="1">
        <v>0</v>
      </c>
      <c r="CR348" s="1" t="s">
        <v>139</v>
      </c>
      <c r="CS348" s="1" t="s">
        <v>308</v>
      </c>
      <c r="CT348" s="1" t="s">
        <v>223</v>
      </c>
      <c r="CW348" s="1" t="s">
        <v>284</v>
      </c>
      <c r="CX348" s="1" t="s">
        <v>430</v>
      </c>
      <c r="CY348" s="1" t="s">
        <v>143</v>
      </c>
      <c r="CZ348" s="1" t="s">
        <v>144</v>
      </c>
      <c r="DA348" s="1" t="s">
        <v>145</v>
      </c>
    </row>
    <row r="349" spans="1:105" s="3" customFormat="1" ht="11.25" customHeight="1" x14ac:dyDescent="0.2">
      <c r="A349" s="3">
        <v>41</v>
      </c>
      <c r="B349" s="3" t="s">
        <v>4311</v>
      </c>
      <c r="C349" s="3" t="s">
        <v>4310</v>
      </c>
      <c r="D349" s="3">
        <v>5620</v>
      </c>
      <c r="E349" s="2" t="s">
        <v>4201</v>
      </c>
      <c r="F349" s="1" t="s">
        <v>106</v>
      </c>
      <c r="G349" s="1" t="s">
        <v>4312</v>
      </c>
      <c r="H349" s="1" t="s">
        <v>4313</v>
      </c>
      <c r="I349" s="1" t="s">
        <v>109</v>
      </c>
      <c r="J349" s="1" t="s">
        <v>106</v>
      </c>
      <c r="K349" s="1" t="s">
        <v>4313</v>
      </c>
      <c r="L349" s="1" t="s">
        <v>111</v>
      </c>
      <c r="M349" s="1" t="s">
        <v>230</v>
      </c>
      <c r="N349" s="1" t="s">
        <v>4314</v>
      </c>
      <c r="O349" s="1" t="s">
        <v>113</v>
      </c>
      <c r="P349" s="1" t="s">
        <v>113</v>
      </c>
      <c r="Q349" s="1" t="s">
        <v>195</v>
      </c>
      <c r="R349" s="1" t="s">
        <v>4315</v>
      </c>
      <c r="S349" s="1" t="s">
        <v>4316</v>
      </c>
      <c r="T349" s="1" t="s">
        <v>106</v>
      </c>
      <c r="U349" s="1" t="s">
        <v>4317</v>
      </c>
      <c r="V349" s="1" t="s">
        <v>4318</v>
      </c>
      <c r="W349" s="1" t="s">
        <v>115</v>
      </c>
      <c r="X349" s="1" t="s">
        <v>113</v>
      </c>
      <c r="Y349" s="1" t="s">
        <v>693</v>
      </c>
      <c r="Z349" s="1">
        <v>100</v>
      </c>
      <c r="AA349" s="1" t="s">
        <v>116</v>
      </c>
      <c r="AB349" s="1" t="s">
        <v>128</v>
      </c>
      <c r="AC349" s="1" t="s">
        <v>118</v>
      </c>
      <c r="AD349" s="1">
        <v>100</v>
      </c>
      <c r="AE349" s="1" t="s">
        <v>116</v>
      </c>
      <c r="AF349" s="1">
        <v>1518</v>
      </c>
      <c r="AG349" s="1" t="s">
        <v>113</v>
      </c>
      <c r="AH349" s="1">
        <v>0</v>
      </c>
      <c r="AI349" s="1">
        <v>40</v>
      </c>
      <c r="AJ349" s="1">
        <v>0</v>
      </c>
      <c r="AK349" s="1" t="s">
        <v>200</v>
      </c>
      <c r="AL349" s="1">
        <v>0</v>
      </c>
      <c r="AM349" s="1" t="s">
        <v>172</v>
      </c>
      <c r="AN349" s="1">
        <v>0</v>
      </c>
      <c r="AO349" s="1" t="s">
        <v>113</v>
      </c>
      <c r="AP349" s="1" t="s">
        <v>113</v>
      </c>
      <c r="AQ349" s="1" t="s">
        <v>127</v>
      </c>
      <c r="AR349" s="1" t="s">
        <v>127</v>
      </c>
      <c r="AS349" s="1" t="s">
        <v>127</v>
      </c>
      <c r="AT349" s="1" t="s">
        <v>123</v>
      </c>
      <c r="AU349" s="1" t="s">
        <v>113</v>
      </c>
      <c r="AV349" s="1" t="s">
        <v>113</v>
      </c>
      <c r="AW349" s="1" t="s">
        <v>124</v>
      </c>
      <c r="AX349" s="1" t="s">
        <v>165</v>
      </c>
      <c r="AY349" s="1">
        <v>0</v>
      </c>
      <c r="AZ349" s="1" t="s">
        <v>113</v>
      </c>
      <c r="BA349" s="1" t="s">
        <v>113</v>
      </c>
      <c r="BB349" s="1" t="s">
        <v>125</v>
      </c>
      <c r="BC349" s="1" t="s">
        <v>166</v>
      </c>
      <c r="BD349" s="1">
        <v>0</v>
      </c>
      <c r="BE349" s="1">
        <v>100</v>
      </c>
      <c r="BF349" s="1" t="s">
        <v>167</v>
      </c>
      <c r="BG349" s="1" t="s">
        <v>268</v>
      </c>
      <c r="BH349" s="1" t="s">
        <v>207</v>
      </c>
      <c r="BI349" s="1" t="s">
        <v>207</v>
      </c>
      <c r="BJ349" s="1" t="s">
        <v>384</v>
      </c>
      <c r="BK349" s="1">
        <v>100</v>
      </c>
      <c r="BL349" s="1" t="s">
        <v>167</v>
      </c>
      <c r="BM349" s="1" t="s">
        <v>271</v>
      </c>
      <c r="BN349" s="1">
        <v>8</v>
      </c>
      <c r="BO349" s="1">
        <v>0</v>
      </c>
      <c r="BP349" s="1" t="s">
        <v>115</v>
      </c>
      <c r="BQ349" s="1" t="s">
        <v>4313</v>
      </c>
      <c r="BR349" s="1" t="s">
        <v>4319</v>
      </c>
      <c r="BS349" s="1" t="s">
        <v>4320</v>
      </c>
      <c r="BT349" s="1" t="s">
        <v>172</v>
      </c>
      <c r="BU349" s="1" t="s">
        <v>239</v>
      </c>
      <c r="BV349" s="1" t="s">
        <v>3037</v>
      </c>
      <c r="BW349" s="1" t="s">
        <v>766</v>
      </c>
      <c r="BX349" s="1" t="s">
        <v>4321</v>
      </c>
      <c r="BY349" s="1" t="s">
        <v>135</v>
      </c>
      <c r="BZ349" s="1" t="s">
        <v>4322</v>
      </c>
      <c r="CA349" s="1">
        <v>1518</v>
      </c>
      <c r="CB349" s="1" t="s">
        <v>244</v>
      </c>
      <c r="CC349" s="1" t="s">
        <v>1488</v>
      </c>
      <c r="CD349" s="1" t="s">
        <v>4323</v>
      </c>
      <c r="CE349" s="1" t="s">
        <v>179</v>
      </c>
      <c r="CF349" s="6">
        <v>93487.039999999994</v>
      </c>
      <c r="CG349" s="6">
        <v>45773.75</v>
      </c>
      <c r="CH349" s="1">
        <v>150000</v>
      </c>
      <c r="CI349" s="1">
        <v>0</v>
      </c>
      <c r="CJ349" s="1" t="s">
        <v>4324</v>
      </c>
      <c r="CK349" s="6">
        <v>48000</v>
      </c>
      <c r="CL349" s="1">
        <v>0</v>
      </c>
      <c r="CM349" s="1">
        <v>0</v>
      </c>
      <c r="CN349" s="1">
        <v>0</v>
      </c>
      <c r="CO349" s="1">
        <v>0</v>
      </c>
      <c r="CP349" s="1">
        <v>0</v>
      </c>
      <c r="CQ349" s="1">
        <v>0</v>
      </c>
      <c r="CR349" s="1" t="s">
        <v>418</v>
      </c>
      <c r="CS349" s="1" t="s">
        <v>308</v>
      </c>
      <c r="CT349" s="1" t="s">
        <v>693</v>
      </c>
      <c r="CV349" s="1" t="s">
        <v>4325</v>
      </c>
      <c r="CW349" s="1" t="s">
        <v>4326</v>
      </c>
      <c r="CX349" s="1" t="s">
        <v>4327</v>
      </c>
      <c r="CY349" s="1" t="s">
        <v>127</v>
      </c>
      <c r="CZ349" s="1" t="s">
        <v>144</v>
      </c>
      <c r="DA349" s="1" t="s">
        <v>145</v>
      </c>
    </row>
    <row r="350" spans="1:105" s="3" customFormat="1" ht="11.25" customHeight="1" x14ac:dyDescent="0.2">
      <c r="A350" s="3">
        <v>41</v>
      </c>
      <c r="B350" s="3" t="s">
        <v>4329</v>
      </c>
      <c r="C350" s="3" t="s">
        <v>4328</v>
      </c>
      <c r="D350" s="3">
        <v>10700</v>
      </c>
      <c r="E350" s="2" t="s">
        <v>4201</v>
      </c>
      <c r="F350" s="1" t="s">
        <v>113</v>
      </c>
      <c r="G350" s="1" t="s">
        <v>4330</v>
      </c>
      <c r="H350" s="1" t="s">
        <v>4331</v>
      </c>
      <c r="I350" s="1" t="s">
        <v>4332</v>
      </c>
      <c r="J350" s="1" t="s">
        <v>113</v>
      </c>
      <c r="L350" s="1" t="s">
        <v>111</v>
      </c>
      <c r="M350" s="1" t="s">
        <v>465</v>
      </c>
      <c r="N350" s="1" t="s">
        <v>4333</v>
      </c>
      <c r="O350" s="1" t="s">
        <v>106</v>
      </c>
      <c r="P350" s="1" t="s">
        <v>113</v>
      </c>
      <c r="Q350" s="1" t="s">
        <v>195</v>
      </c>
      <c r="R350" s="1" t="s">
        <v>2923</v>
      </c>
      <c r="S350" s="1" t="s">
        <v>2923</v>
      </c>
      <c r="T350" s="1" t="s">
        <v>106</v>
      </c>
      <c r="U350" s="1" t="s">
        <v>2923</v>
      </c>
      <c r="V350" s="1" t="s">
        <v>156</v>
      </c>
      <c r="W350" s="1" t="s">
        <v>199</v>
      </c>
      <c r="X350" s="1" t="s">
        <v>106</v>
      </c>
      <c r="Y350" s="1" t="s">
        <v>2923</v>
      </c>
      <c r="Z350" s="1">
        <v>100</v>
      </c>
      <c r="AA350" s="1" t="s">
        <v>116</v>
      </c>
      <c r="AB350" s="1" t="s">
        <v>128</v>
      </c>
      <c r="AC350" s="1" t="s">
        <v>128</v>
      </c>
      <c r="AD350" s="1">
        <v>35</v>
      </c>
      <c r="AE350" s="1" t="s">
        <v>116</v>
      </c>
      <c r="AF350" s="1">
        <v>1300</v>
      </c>
      <c r="AG350" s="1" t="s">
        <v>106</v>
      </c>
      <c r="AH350" s="1">
        <v>29</v>
      </c>
      <c r="AI350" s="1">
        <v>14</v>
      </c>
      <c r="AJ350" s="1">
        <v>57</v>
      </c>
      <c r="AK350" s="1" t="s">
        <v>232</v>
      </c>
      <c r="AL350" s="5" t="s">
        <v>220</v>
      </c>
      <c r="AM350" s="1" t="s">
        <v>1738</v>
      </c>
      <c r="AN350" s="1">
        <v>500</v>
      </c>
      <c r="AO350" s="1" t="s">
        <v>113</v>
      </c>
      <c r="AP350" s="1" t="s">
        <v>106</v>
      </c>
      <c r="AQ350" s="1" t="s">
        <v>4334</v>
      </c>
      <c r="AR350" s="1" t="s">
        <v>4335</v>
      </c>
      <c r="AS350" s="1" t="s">
        <v>4336</v>
      </c>
      <c r="AT350" s="1" t="s">
        <v>123</v>
      </c>
      <c r="AU350" s="1" t="s">
        <v>113</v>
      </c>
      <c r="AV350" s="1" t="s">
        <v>113</v>
      </c>
      <c r="AW350" s="1" t="s">
        <v>164</v>
      </c>
      <c r="AX350" s="1" t="s">
        <v>165</v>
      </c>
      <c r="AY350" s="1">
        <v>0</v>
      </c>
      <c r="AZ350" s="1" t="s">
        <v>113</v>
      </c>
      <c r="BA350" s="1" t="s">
        <v>113</v>
      </c>
      <c r="BB350" s="1" t="s">
        <v>125</v>
      </c>
      <c r="BC350" s="1" t="s">
        <v>166</v>
      </c>
      <c r="BD350" s="1">
        <v>0</v>
      </c>
      <c r="BE350" s="1">
        <v>100</v>
      </c>
      <c r="BF350" s="1" t="s">
        <v>630</v>
      </c>
      <c r="BG350" s="1" t="s">
        <v>383</v>
      </c>
      <c r="BH350" s="1" t="s">
        <v>651</v>
      </c>
      <c r="BI350" s="1" t="s">
        <v>169</v>
      </c>
      <c r="BJ350" s="1" t="s">
        <v>208</v>
      </c>
      <c r="BK350" s="1">
        <v>35</v>
      </c>
      <c r="BL350" s="1" t="s">
        <v>167</v>
      </c>
      <c r="BM350" s="1" t="s">
        <v>210</v>
      </c>
      <c r="BN350" s="1">
        <v>7</v>
      </c>
      <c r="BO350" s="1">
        <v>2</v>
      </c>
      <c r="BP350" s="1" t="s">
        <v>115</v>
      </c>
      <c r="BQ350" s="1" t="s">
        <v>2527</v>
      </c>
      <c r="BR350" s="1" t="s">
        <v>4337</v>
      </c>
      <c r="BS350" s="1" t="s">
        <v>4338</v>
      </c>
      <c r="BT350" s="1" t="s">
        <v>172</v>
      </c>
      <c r="BU350" s="1" t="s">
        <v>132</v>
      </c>
      <c r="BV350" s="1" t="s">
        <v>174</v>
      </c>
      <c r="BW350" s="1" t="s">
        <v>516</v>
      </c>
      <c r="BX350" s="1" t="s">
        <v>325</v>
      </c>
      <c r="BY350" s="1" t="s">
        <v>299</v>
      </c>
      <c r="BZ350" s="1" t="s">
        <v>157</v>
      </c>
      <c r="CA350" s="1">
        <v>140000</v>
      </c>
      <c r="CB350" s="1" t="s">
        <v>216</v>
      </c>
      <c r="CC350" s="1" t="s">
        <v>177</v>
      </c>
      <c r="CD350" s="1" t="s">
        <v>4339</v>
      </c>
      <c r="CE350" s="1" t="s">
        <v>219</v>
      </c>
      <c r="CF350" s="6">
        <v>162253.89000000001</v>
      </c>
      <c r="CG350" s="6">
        <v>3108950.66</v>
      </c>
      <c r="CH350" s="4">
        <v>12000</v>
      </c>
      <c r="CI350" s="4">
        <v>47000</v>
      </c>
      <c r="CJ350" s="4">
        <v>47000</v>
      </c>
      <c r="CK350" s="1">
        <v>158</v>
      </c>
      <c r="CL350" s="5" t="s">
        <v>220</v>
      </c>
      <c r="CM350" s="5" t="s">
        <v>220</v>
      </c>
      <c r="CN350" s="4">
        <v>15000</v>
      </c>
      <c r="CO350" s="5" t="s">
        <v>220</v>
      </c>
      <c r="CP350" s="5" t="s">
        <v>220</v>
      </c>
      <c r="CQ350" s="5" t="s">
        <v>220</v>
      </c>
      <c r="CR350" s="1" t="s">
        <v>139</v>
      </c>
      <c r="CS350" s="1" t="s">
        <v>4340</v>
      </c>
      <c r="CT350" s="1" t="s">
        <v>223</v>
      </c>
      <c r="CV350" s="1" t="s">
        <v>4341</v>
      </c>
      <c r="CW350" s="1" t="s">
        <v>4342</v>
      </c>
      <c r="CX350" s="1" t="s">
        <v>114</v>
      </c>
      <c r="CY350" s="1" t="s">
        <v>143</v>
      </c>
      <c r="CZ350" s="1" t="s">
        <v>144</v>
      </c>
      <c r="DA350" s="1" t="s">
        <v>145</v>
      </c>
    </row>
    <row r="351" spans="1:105" s="3" customFormat="1" ht="11.25" customHeight="1" x14ac:dyDescent="0.2">
      <c r="A351" s="3">
        <v>41</v>
      </c>
      <c r="B351" s="3" t="s">
        <v>4344</v>
      </c>
      <c r="C351" s="3" t="s">
        <v>4343</v>
      </c>
      <c r="D351" s="3">
        <v>13923</v>
      </c>
      <c r="E351" s="2" t="s">
        <v>4201</v>
      </c>
      <c r="F351" s="1" t="s">
        <v>113</v>
      </c>
      <c r="G351" s="1" t="s">
        <v>190</v>
      </c>
      <c r="H351" s="1" t="s">
        <v>4345</v>
      </c>
      <c r="I351" s="1" t="s">
        <v>229</v>
      </c>
      <c r="J351" s="1" t="s">
        <v>229</v>
      </c>
      <c r="L351" s="1" t="s">
        <v>111</v>
      </c>
      <c r="M351" s="1" t="s">
        <v>111</v>
      </c>
      <c r="N351" s="1" t="s">
        <v>112</v>
      </c>
      <c r="O351" s="1" t="s">
        <v>113</v>
      </c>
      <c r="P351" s="1" t="s">
        <v>113</v>
      </c>
      <c r="Q351" s="1" t="s">
        <v>152</v>
      </c>
      <c r="R351" s="1" t="s">
        <v>114</v>
      </c>
      <c r="S351" s="1" t="s">
        <v>114</v>
      </c>
      <c r="T351" s="1" t="s">
        <v>106</v>
      </c>
      <c r="U351" s="1" t="s">
        <v>4346</v>
      </c>
      <c r="V351" s="1" t="s">
        <v>4347</v>
      </c>
      <c r="W351" s="1" t="s">
        <v>755</v>
      </c>
      <c r="X351" s="1" t="s">
        <v>113</v>
      </c>
      <c r="Y351" s="1" t="s">
        <v>114</v>
      </c>
      <c r="Z351" s="1">
        <v>100</v>
      </c>
      <c r="AA351" s="1" t="s">
        <v>116</v>
      </c>
      <c r="AB351" s="1" t="s">
        <v>128</v>
      </c>
      <c r="AC351" s="1" t="s">
        <v>384</v>
      </c>
      <c r="AD351" s="1">
        <v>100</v>
      </c>
      <c r="AE351" s="1" t="s">
        <v>116</v>
      </c>
      <c r="AF351" s="1">
        <v>1137</v>
      </c>
      <c r="AG351" s="1" t="s">
        <v>113</v>
      </c>
      <c r="AH351" s="1">
        <v>0</v>
      </c>
      <c r="AI351" s="1">
        <v>0</v>
      </c>
      <c r="AJ351" s="1">
        <v>0</v>
      </c>
      <c r="AK351" s="1" t="s">
        <v>408</v>
      </c>
      <c r="AM351" s="1" t="s">
        <v>120</v>
      </c>
      <c r="AO351" s="1" t="s">
        <v>113</v>
      </c>
      <c r="AP351" s="1" t="s">
        <v>113</v>
      </c>
      <c r="AQ351" s="1" t="s">
        <v>114</v>
      </c>
      <c r="AR351" s="1" t="s">
        <v>114</v>
      </c>
      <c r="AS351" s="1" t="s">
        <v>114</v>
      </c>
      <c r="AT351" s="1" t="s">
        <v>123</v>
      </c>
      <c r="AU351" s="1" t="s">
        <v>113</v>
      </c>
      <c r="AV351" s="1" t="s">
        <v>113</v>
      </c>
      <c r="AW351" s="1" t="s">
        <v>164</v>
      </c>
      <c r="AY351" s="1">
        <v>0</v>
      </c>
      <c r="AZ351" s="1" t="s">
        <v>113</v>
      </c>
      <c r="BA351" s="1" t="s">
        <v>113</v>
      </c>
      <c r="BB351" s="1" t="s">
        <v>125</v>
      </c>
      <c r="BD351" s="1">
        <v>0</v>
      </c>
      <c r="BE351" s="1">
        <v>100</v>
      </c>
      <c r="BF351" s="1" t="s">
        <v>167</v>
      </c>
      <c r="BG351" s="1" t="s">
        <v>268</v>
      </c>
      <c r="BH351" s="1" t="s">
        <v>269</v>
      </c>
      <c r="BI351" s="1" t="s">
        <v>269</v>
      </c>
      <c r="BJ351" s="1" t="s">
        <v>384</v>
      </c>
      <c r="BK351" s="1">
        <v>100</v>
      </c>
      <c r="BL351" s="1" t="s">
        <v>270</v>
      </c>
      <c r="BM351" s="1" t="s">
        <v>271</v>
      </c>
      <c r="BN351" s="1">
        <v>12</v>
      </c>
      <c r="BO351" s="1">
        <v>0</v>
      </c>
      <c r="BP351" s="1" t="s">
        <v>115</v>
      </c>
      <c r="BQ351" s="1" t="s">
        <v>1039</v>
      </c>
      <c r="BR351" s="1" t="s">
        <v>4348</v>
      </c>
      <c r="BS351" s="1" t="s">
        <v>4349</v>
      </c>
      <c r="BT351" s="1" t="s">
        <v>172</v>
      </c>
      <c r="BU351" s="1" t="s">
        <v>132</v>
      </c>
      <c r="BV351" s="1" t="s">
        <v>275</v>
      </c>
      <c r="BW351" s="1" t="s">
        <v>134</v>
      </c>
      <c r="BX351" s="1" t="s">
        <v>325</v>
      </c>
      <c r="BY351" s="1" t="s">
        <v>135</v>
      </c>
      <c r="BZ351" s="1" t="s">
        <v>4350</v>
      </c>
      <c r="CA351" s="1">
        <v>1137</v>
      </c>
      <c r="CB351" s="1" t="s">
        <v>176</v>
      </c>
      <c r="CC351" s="1" t="s">
        <v>301</v>
      </c>
      <c r="CD351" s="1" t="s">
        <v>4351</v>
      </c>
      <c r="CE351" s="1" t="s">
        <v>458</v>
      </c>
      <c r="CF351" s="6">
        <v>214846.12</v>
      </c>
      <c r="CG351" s="6">
        <v>814351.06</v>
      </c>
      <c r="CH351" s="6">
        <v>217156.82</v>
      </c>
      <c r="CI351" s="1">
        <v>0</v>
      </c>
      <c r="CJ351" s="6">
        <v>282503.33</v>
      </c>
      <c r="CK351" s="6">
        <v>310435.68</v>
      </c>
      <c r="CL351" s="1">
        <v>0</v>
      </c>
      <c r="CM351" s="1">
        <v>0</v>
      </c>
      <c r="CN351" s="1">
        <v>0</v>
      </c>
      <c r="CO351" s="1">
        <v>0</v>
      </c>
      <c r="CP351" s="1">
        <v>0</v>
      </c>
      <c r="CQ351" s="1">
        <v>0</v>
      </c>
      <c r="CR351" s="1" t="s">
        <v>139</v>
      </c>
      <c r="CS351" s="1" t="s">
        <v>140</v>
      </c>
      <c r="CT351" s="1" t="s">
        <v>1636</v>
      </c>
      <c r="CW351" s="1" t="s">
        <v>251</v>
      </c>
      <c r="CX351" s="1" t="s">
        <v>114</v>
      </c>
      <c r="CY351" s="1" t="s">
        <v>143</v>
      </c>
      <c r="CZ351" s="1" t="s">
        <v>144</v>
      </c>
      <c r="DA351" s="1" t="s">
        <v>145</v>
      </c>
    </row>
    <row r="352" spans="1:105" s="3" customFormat="1" ht="11.25" customHeight="1" x14ac:dyDescent="0.2">
      <c r="A352" s="3">
        <v>41</v>
      </c>
      <c r="B352" s="3" t="s">
        <v>4353</v>
      </c>
      <c r="C352" s="3" t="s">
        <v>4352</v>
      </c>
      <c r="D352" s="3">
        <v>5193</v>
      </c>
      <c r="E352" s="2" t="s">
        <v>4201</v>
      </c>
      <c r="F352" s="1" t="s">
        <v>113</v>
      </c>
      <c r="G352" s="1" t="s">
        <v>398</v>
      </c>
      <c r="H352" s="1" t="s">
        <v>359</v>
      </c>
      <c r="I352" s="1" t="s">
        <v>4354</v>
      </c>
      <c r="J352" s="1" t="s">
        <v>113</v>
      </c>
      <c r="L352" s="1" t="s">
        <v>111</v>
      </c>
      <c r="M352" s="1" t="s">
        <v>257</v>
      </c>
      <c r="N352" s="1" t="s">
        <v>112</v>
      </c>
      <c r="O352" s="1" t="s">
        <v>113</v>
      </c>
      <c r="P352" s="1" t="s">
        <v>113</v>
      </c>
      <c r="Q352" s="1" t="s">
        <v>195</v>
      </c>
      <c r="R352" s="1" t="s">
        <v>4355</v>
      </c>
      <c r="S352" s="1" t="s">
        <v>114</v>
      </c>
      <c r="T352" s="1" t="s">
        <v>106</v>
      </c>
      <c r="U352" s="1" t="s">
        <v>4355</v>
      </c>
      <c r="V352" s="1" t="s">
        <v>4356</v>
      </c>
      <c r="W352" s="1" t="s">
        <v>115</v>
      </c>
      <c r="X352" s="1" t="s">
        <v>106</v>
      </c>
      <c r="Y352" s="1" t="s">
        <v>3505</v>
      </c>
      <c r="Z352" s="1">
        <v>100</v>
      </c>
      <c r="AA352" s="1" t="s">
        <v>116</v>
      </c>
      <c r="AB352" s="1" t="s">
        <v>158</v>
      </c>
      <c r="AC352" s="1" t="s">
        <v>118</v>
      </c>
      <c r="AD352" s="1">
        <v>80</v>
      </c>
      <c r="AE352" s="1" t="s">
        <v>116</v>
      </c>
      <c r="AF352" s="4">
        <v>1638</v>
      </c>
      <c r="AG352" s="1" t="s">
        <v>113</v>
      </c>
      <c r="AH352" s="1">
        <v>0</v>
      </c>
      <c r="AI352" s="1">
        <v>0</v>
      </c>
      <c r="AJ352" s="1">
        <v>0</v>
      </c>
      <c r="AK352" s="1" t="s">
        <v>232</v>
      </c>
      <c r="AL352" s="4">
        <v>9125</v>
      </c>
      <c r="AM352" s="1" t="s">
        <v>4357</v>
      </c>
      <c r="AN352" s="4">
        <v>7300</v>
      </c>
      <c r="AO352" s="1" t="s">
        <v>113</v>
      </c>
      <c r="AP352" s="1" t="s">
        <v>113</v>
      </c>
      <c r="AQ352" s="1" t="s">
        <v>114</v>
      </c>
      <c r="AR352" s="1" t="s">
        <v>114</v>
      </c>
      <c r="AS352" s="1" t="s">
        <v>114</v>
      </c>
      <c r="AT352" s="1" t="s">
        <v>344</v>
      </c>
      <c r="AU352" s="1" t="s">
        <v>113</v>
      </c>
      <c r="AV352" s="1" t="s">
        <v>113</v>
      </c>
      <c r="AW352" s="1" t="s">
        <v>205</v>
      </c>
      <c r="AX352" s="1" t="s">
        <v>4358</v>
      </c>
      <c r="AY352" s="1">
        <v>50</v>
      </c>
      <c r="AZ352" s="1" t="s">
        <v>113</v>
      </c>
      <c r="BA352" s="1" t="s">
        <v>113</v>
      </c>
      <c r="BB352" s="1" t="s">
        <v>125</v>
      </c>
      <c r="BC352" s="1" t="s">
        <v>166</v>
      </c>
      <c r="BD352" s="1">
        <v>0</v>
      </c>
      <c r="BE352" s="1">
        <v>100</v>
      </c>
      <c r="BF352" s="1" t="s">
        <v>630</v>
      </c>
      <c r="BG352" s="1" t="s">
        <v>132</v>
      </c>
      <c r="BH352" s="1" t="s">
        <v>269</v>
      </c>
      <c r="BJ352" s="1" t="s">
        <v>208</v>
      </c>
      <c r="BK352" s="1">
        <v>60</v>
      </c>
      <c r="BL352" s="1" t="s">
        <v>270</v>
      </c>
      <c r="BM352" s="1" t="s">
        <v>472</v>
      </c>
      <c r="BN352" s="1" t="s">
        <v>4359</v>
      </c>
      <c r="BO352" s="1">
        <v>3</v>
      </c>
      <c r="BP352" s="1" t="s">
        <v>115</v>
      </c>
      <c r="BQ352" s="1" t="s">
        <v>359</v>
      </c>
      <c r="BR352" s="1" t="s">
        <v>4360</v>
      </c>
      <c r="BS352" s="1" t="s">
        <v>4361</v>
      </c>
      <c r="BT352" s="1" t="s">
        <v>172</v>
      </c>
      <c r="BU352" s="1" t="s">
        <v>132</v>
      </c>
      <c r="BV352" s="1" t="s">
        <v>2570</v>
      </c>
      <c r="BW352" s="1" t="s">
        <v>134</v>
      </c>
      <c r="BX352" s="1" t="s">
        <v>157</v>
      </c>
      <c r="BY352" s="1" t="s">
        <v>135</v>
      </c>
      <c r="BZ352" s="1" t="s">
        <v>4362</v>
      </c>
      <c r="CA352" s="4">
        <v>1438</v>
      </c>
      <c r="CB352" s="1" t="s">
        <v>244</v>
      </c>
      <c r="CC352" s="1" t="s">
        <v>217</v>
      </c>
      <c r="CD352" s="1" t="s">
        <v>4363</v>
      </c>
      <c r="CE352" s="1" t="s">
        <v>219</v>
      </c>
      <c r="CF352" s="6">
        <v>179325.42</v>
      </c>
      <c r="CG352" s="6">
        <v>5342353.43</v>
      </c>
      <c r="CH352" s="1">
        <v>143.79</v>
      </c>
      <c r="CI352" s="1">
        <v>227.75</v>
      </c>
      <c r="CJ352" s="1">
        <v>227.75</v>
      </c>
      <c r="CK352" s="1">
        <v>778.6</v>
      </c>
      <c r="CL352" s="1">
        <v>0</v>
      </c>
      <c r="CM352" s="1">
        <v>0</v>
      </c>
      <c r="CN352" s="1">
        <v>701</v>
      </c>
      <c r="CO352" s="1">
        <v>0</v>
      </c>
      <c r="CP352" s="1">
        <v>0</v>
      </c>
      <c r="CQ352" s="1">
        <v>0</v>
      </c>
      <c r="CR352" s="1" t="s">
        <v>418</v>
      </c>
      <c r="CS352" s="1" t="s">
        <v>4364</v>
      </c>
      <c r="CT352" s="1" t="s">
        <v>4365</v>
      </c>
      <c r="CV352" s="1" t="s">
        <v>439</v>
      </c>
      <c r="CW352" s="1" t="s">
        <v>284</v>
      </c>
      <c r="CX352" s="1" t="s">
        <v>4366</v>
      </c>
      <c r="CY352" s="1" t="s">
        <v>4367</v>
      </c>
      <c r="CZ352" s="1" t="s">
        <v>144</v>
      </c>
      <c r="DA352" s="1" t="s">
        <v>145</v>
      </c>
    </row>
    <row r="353" spans="1:105" s="3" customFormat="1" ht="11.25" customHeight="1" x14ac:dyDescent="0.2">
      <c r="A353" s="3">
        <v>41</v>
      </c>
      <c r="B353" s="3" t="s">
        <v>4369</v>
      </c>
      <c r="C353" s="3" t="s">
        <v>4368</v>
      </c>
      <c r="D353" s="3">
        <v>6659</v>
      </c>
      <c r="E353" s="2" t="s">
        <v>4201</v>
      </c>
      <c r="F353" s="1" t="s">
        <v>113</v>
      </c>
      <c r="G353" s="1" t="s">
        <v>4370</v>
      </c>
      <c r="H353" s="1" t="s">
        <v>4371</v>
      </c>
      <c r="I353" s="1" t="s">
        <v>229</v>
      </c>
      <c r="J353" s="1" t="s">
        <v>113</v>
      </c>
      <c r="L353" s="1" t="s">
        <v>111</v>
      </c>
      <c r="M353" s="1" t="s">
        <v>191</v>
      </c>
      <c r="N353" s="1" t="s">
        <v>2226</v>
      </c>
      <c r="O353" s="1" t="s">
        <v>106</v>
      </c>
      <c r="P353" s="1" t="s">
        <v>113</v>
      </c>
      <c r="Q353" s="1" t="s">
        <v>195</v>
      </c>
      <c r="R353" s="1" t="s">
        <v>4372</v>
      </c>
      <c r="S353" s="1" t="s">
        <v>4373</v>
      </c>
      <c r="T353" s="1" t="s">
        <v>106</v>
      </c>
      <c r="U353" s="1" t="s">
        <v>4374</v>
      </c>
      <c r="V353" s="1" t="s">
        <v>4375</v>
      </c>
      <c r="W353" s="1" t="s">
        <v>115</v>
      </c>
      <c r="X353" s="1" t="s">
        <v>113</v>
      </c>
      <c r="Y353" s="1" t="s">
        <v>114</v>
      </c>
      <c r="Z353" s="1">
        <v>0</v>
      </c>
      <c r="AA353" s="1" t="s">
        <v>132</v>
      </c>
      <c r="AB353" s="1" t="s">
        <v>128</v>
      </c>
      <c r="AC353" s="1" t="s">
        <v>128</v>
      </c>
      <c r="AD353" s="1">
        <v>0</v>
      </c>
      <c r="AE353" s="1" t="s">
        <v>132</v>
      </c>
      <c r="AF353" s="1">
        <v>0</v>
      </c>
      <c r="AG353" s="1" t="s">
        <v>113</v>
      </c>
      <c r="AH353" s="1">
        <v>0</v>
      </c>
      <c r="AI353" s="1">
        <v>0</v>
      </c>
      <c r="AJ353" s="1">
        <v>0</v>
      </c>
      <c r="AK353" s="1" t="s">
        <v>648</v>
      </c>
      <c r="AL353" s="1">
        <v>0</v>
      </c>
      <c r="AM353" s="1" t="s">
        <v>1263</v>
      </c>
      <c r="AN353" s="1">
        <v>0</v>
      </c>
      <c r="AO353" s="1" t="s">
        <v>113</v>
      </c>
      <c r="AP353" s="1" t="s">
        <v>113</v>
      </c>
      <c r="AQ353" s="1" t="s">
        <v>157</v>
      </c>
      <c r="AR353" s="1" t="s">
        <v>157</v>
      </c>
      <c r="AS353" s="1" t="s">
        <v>157</v>
      </c>
      <c r="AT353" s="1" t="s">
        <v>880</v>
      </c>
      <c r="AU353" s="1" t="s">
        <v>106</v>
      </c>
      <c r="AV353" s="1" t="s">
        <v>113</v>
      </c>
      <c r="AW353" s="1" t="s">
        <v>164</v>
      </c>
      <c r="AX353" s="1" t="s">
        <v>1073</v>
      </c>
      <c r="AY353" s="4">
        <v>1200</v>
      </c>
      <c r="AZ353" s="1" t="s">
        <v>113</v>
      </c>
      <c r="BA353" s="1" t="s">
        <v>113</v>
      </c>
      <c r="BB353" s="1" t="s">
        <v>125</v>
      </c>
      <c r="BC353" s="1" t="s">
        <v>166</v>
      </c>
      <c r="BD353" s="1">
        <v>0</v>
      </c>
      <c r="BE353" s="1">
        <v>100</v>
      </c>
      <c r="BF353" s="1" t="s">
        <v>630</v>
      </c>
      <c r="BG353" s="1" t="s">
        <v>116</v>
      </c>
      <c r="BH353" s="1" t="s">
        <v>168</v>
      </c>
      <c r="BI353" s="1" t="s">
        <v>168</v>
      </c>
      <c r="BJ353" s="1" t="s">
        <v>384</v>
      </c>
      <c r="BK353" s="1">
        <v>100</v>
      </c>
      <c r="BL353" s="1" t="s">
        <v>270</v>
      </c>
      <c r="BM353" s="1" t="s">
        <v>210</v>
      </c>
      <c r="BN353" s="1" t="s">
        <v>157</v>
      </c>
      <c r="BO353" s="1">
        <v>0</v>
      </c>
      <c r="BP353" s="1" t="s">
        <v>124</v>
      </c>
      <c r="BQ353" s="1" t="s">
        <v>4376</v>
      </c>
      <c r="BR353" s="1" t="s">
        <v>4377</v>
      </c>
      <c r="BS353" s="1" t="s">
        <v>4378</v>
      </c>
      <c r="BT353" s="1" t="s">
        <v>172</v>
      </c>
      <c r="BU353" s="1" t="s">
        <v>3680</v>
      </c>
      <c r="BV353" s="1" t="s">
        <v>1597</v>
      </c>
      <c r="BW353" s="1" t="s">
        <v>134</v>
      </c>
      <c r="BX353" s="1" t="s">
        <v>325</v>
      </c>
      <c r="BY353" s="1" t="s">
        <v>135</v>
      </c>
      <c r="BZ353" s="1" t="s">
        <v>4379</v>
      </c>
      <c r="CA353" s="1">
        <v>0</v>
      </c>
      <c r="CB353" s="1" t="s">
        <v>244</v>
      </c>
      <c r="CC353" s="1" t="s">
        <v>217</v>
      </c>
      <c r="CD353" s="1" t="s">
        <v>4380</v>
      </c>
      <c r="CE353" s="1" t="s">
        <v>219</v>
      </c>
      <c r="CF353" s="1">
        <v>673207.58</v>
      </c>
      <c r="CG353" s="1">
        <v>416220.61</v>
      </c>
      <c r="CH353" s="1">
        <v>0</v>
      </c>
      <c r="CI353" s="1">
        <v>169809</v>
      </c>
      <c r="CJ353" s="1">
        <v>0</v>
      </c>
      <c r="CK353" s="1">
        <v>23394</v>
      </c>
      <c r="CL353" s="1">
        <v>0</v>
      </c>
      <c r="CM353" s="1">
        <v>9000</v>
      </c>
      <c r="CN353" s="1">
        <v>163819</v>
      </c>
      <c r="CO353" s="1">
        <v>450</v>
      </c>
      <c r="CP353" s="1">
        <v>673207</v>
      </c>
      <c r="CQ353" s="1">
        <v>9000</v>
      </c>
      <c r="CR353" s="1" t="s">
        <v>139</v>
      </c>
      <c r="CS353" s="1" t="s">
        <v>140</v>
      </c>
      <c r="CT353" s="1" t="s">
        <v>394</v>
      </c>
      <c r="CV353" s="1" t="s">
        <v>4381</v>
      </c>
      <c r="CW353" s="1" t="s">
        <v>251</v>
      </c>
      <c r="CX353" s="1" t="s">
        <v>157</v>
      </c>
      <c r="CY353" s="1" t="s">
        <v>143</v>
      </c>
      <c r="CZ353" s="1" t="s">
        <v>144</v>
      </c>
      <c r="DA353" s="1" t="s">
        <v>145</v>
      </c>
    </row>
    <row r="354" spans="1:105" s="3" customFormat="1" ht="11.25" customHeight="1" x14ac:dyDescent="0.2">
      <c r="A354" s="3">
        <v>41</v>
      </c>
      <c r="B354" s="3" t="s">
        <v>4383</v>
      </c>
      <c r="C354" s="3" t="s">
        <v>4382</v>
      </c>
      <c r="D354" s="3">
        <v>9550</v>
      </c>
      <c r="E354" s="2" t="s">
        <v>4201</v>
      </c>
      <c r="F354" s="1" t="s">
        <v>113</v>
      </c>
      <c r="H354" s="1" t="s">
        <v>4384</v>
      </c>
      <c r="I354" s="1" t="s">
        <v>229</v>
      </c>
      <c r="J354" s="1" t="s">
        <v>229</v>
      </c>
      <c r="L354" s="1" t="s">
        <v>111</v>
      </c>
      <c r="M354" s="1" t="s">
        <v>564</v>
      </c>
      <c r="N354" s="1" t="s">
        <v>112</v>
      </c>
      <c r="O354" s="1" t="s">
        <v>106</v>
      </c>
      <c r="P354" s="1" t="s">
        <v>113</v>
      </c>
      <c r="Q354" s="1" t="s">
        <v>152</v>
      </c>
      <c r="R354" s="1" t="s">
        <v>114</v>
      </c>
      <c r="S354" s="1" t="s">
        <v>4385</v>
      </c>
      <c r="T354" s="1" t="s">
        <v>106</v>
      </c>
      <c r="U354" s="1" t="s">
        <v>4386</v>
      </c>
      <c r="V354" s="1" t="s">
        <v>4387</v>
      </c>
      <c r="W354" s="1" t="s">
        <v>115</v>
      </c>
      <c r="X354" s="1" t="s">
        <v>113</v>
      </c>
      <c r="Y354" s="1" t="s">
        <v>114</v>
      </c>
      <c r="Z354" s="1">
        <v>100</v>
      </c>
      <c r="AA354" s="1" t="s">
        <v>116</v>
      </c>
      <c r="AB354" s="1" t="s">
        <v>128</v>
      </c>
      <c r="AC354" s="1" t="s">
        <v>384</v>
      </c>
      <c r="AD354" s="1">
        <v>100</v>
      </c>
      <c r="AE354" s="1" t="s">
        <v>116</v>
      </c>
      <c r="AF354" s="1" t="s">
        <v>4388</v>
      </c>
      <c r="AG354" s="1" t="s">
        <v>113</v>
      </c>
      <c r="AH354" s="1" t="s">
        <v>4389</v>
      </c>
      <c r="AI354" s="1" t="s">
        <v>4390</v>
      </c>
      <c r="AJ354" s="5" t="s">
        <v>4391</v>
      </c>
      <c r="AK354" s="1" t="s">
        <v>232</v>
      </c>
      <c r="AL354" s="5" t="s">
        <v>220</v>
      </c>
      <c r="AM354" s="1" t="s">
        <v>4392</v>
      </c>
      <c r="AN354" s="5" t="s">
        <v>220</v>
      </c>
      <c r="AO354" s="1" t="s">
        <v>113</v>
      </c>
      <c r="AP354" s="1" t="s">
        <v>113</v>
      </c>
      <c r="AQ354" s="1" t="s">
        <v>114</v>
      </c>
      <c r="AR354" s="1" t="s">
        <v>114</v>
      </c>
      <c r="AS354" s="1" t="s">
        <v>114</v>
      </c>
      <c r="AT354" s="1" t="s">
        <v>123</v>
      </c>
      <c r="AU354" s="1" t="s">
        <v>113</v>
      </c>
      <c r="AV354" s="1" t="s">
        <v>113</v>
      </c>
      <c r="AW354" s="1" t="s">
        <v>164</v>
      </c>
      <c r="AY354" s="5" t="s">
        <v>220</v>
      </c>
      <c r="AZ354" s="1" t="s">
        <v>113</v>
      </c>
      <c r="BA354" s="1" t="s">
        <v>113</v>
      </c>
      <c r="BB354" s="1" t="s">
        <v>125</v>
      </c>
      <c r="BD354" s="5" t="s">
        <v>220</v>
      </c>
      <c r="BE354" s="1">
        <v>0</v>
      </c>
      <c r="BF354" s="1" t="s">
        <v>127</v>
      </c>
      <c r="BG354" s="1" t="s">
        <v>127</v>
      </c>
      <c r="BH354" s="1" t="s">
        <v>1605</v>
      </c>
      <c r="BI354" s="1" t="s">
        <v>207</v>
      </c>
      <c r="BJ354" s="1" t="s">
        <v>128</v>
      </c>
      <c r="BK354" s="5" t="s">
        <v>220</v>
      </c>
      <c r="BL354" s="1" t="s">
        <v>127</v>
      </c>
      <c r="BM354" s="1" t="s">
        <v>114</v>
      </c>
      <c r="BN354" s="1" t="s">
        <v>4393</v>
      </c>
      <c r="BP354" s="1" t="s">
        <v>115</v>
      </c>
      <c r="BQ354" s="1" t="s">
        <v>1430</v>
      </c>
      <c r="BR354" s="1" t="s">
        <v>4394</v>
      </c>
      <c r="BS354" s="1" t="s">
        <v>4395</v>
      </c>
      <c r="BT354" s="1" t="s">
        <v>172</v>
      </c>
      <c r="BU354" s="1" t="s">
        <v>132</v>
      </c>
      <c r="BV354" s="1" t="s">
        <v>1597</v>
      </c>
      <c r="BW354" s="1" t="s">
        <v>134</v>
      </c>
      <c r="BX354" s="1" t="s">
        <v>134</v>
      </c>
      <c r="BY354" s="1" t="s">
        <v>454</v>
      </c>
      <c r="BZ354" s="1" t="s">
        <v>4396</v>
      </c>
      <c r="CA354" s="1">
        <v>1716</v>
      </c>
      <c r="CB354" s="1" t="s">
        <v>4397</v>
      </c>
      <c r="CC354" s="1" t="s">
        <v>4398</v>
      </c>
      <c r="CD354" s="1" t="s">
        <v>4399</v>
      </c>
      <c r="CE354" s="1" t="s">
        <v>2326</v>
      </c>
      <c r="CF354" s="6">
        <v>741486.33</v>
      </c>
      <c r="CG354" s="1">
        <v>859191.57</v>
      </c>
      <c r="CH354" s="1">
        <v>455358.47</v>
      </c>
      <c r="CI354" s="1">
        <v>0</v>
      </c>
      <c r="CJ354" s="1">
        <v>398833</v>
      </c>
      <c r="CK354" s="5" t="s">
        <v>220</v>
      </c>
      <c r="CL354" s="5" t="s">
        <v>220</v>
      </c>
      <c r="CM354" s="5" t="s">
        <v>220</v>
      </c>
      <c r="CN354" s="1">
        <v>372346</v>
      </c>
      <c r="CO354" s="5" t="s">
        <v>220</v>
      </c>
      <c r="CP354" s="5" t="s">
        <v>220</v>
      </c>
      <c r="CQ354" s="5" t="s">
        <v>220</v>
      </c>
      <c r="CR354" s="1" t="s">
        <v>139</v>
      </c>
      <c r="CS354" s="1" t="s">
        <v>140</v>
      </c>
      <c r="CT354" s="1" t="s">
        <v>4400</v>
      </c>
      <c r="CW354" s="1" t="s">
        <v>420</v>
      </c>
      <c r="CX354" s="1" t="s">
        <v>4401</v>
      </c>
      <c r="CY354" s="1" t="s">
        <v>143</v>
      </c>
      <c r="CZ354" s="1" t="s">
        <v>144</v>
      </c>
      <c r="DA354" s="1" t="s">
        <v>145</v>
      </c>
    </row>
    <row r="355" spans="1:105" s="3" customFormat="1" ht="11.25" customHeight="1" x14ac:dyDescent="0.2">
      <c r="A355" s="3">
        <v>41</v>
      </c>
      <c r="B355" s="3" t="s">
        <v>4402</v>
      </c>
      <c r="C355" s="3" t="s">
        <v>4403</v>
      </c>
      <c r="D355" s="3">
        <v>43413</v>
      </c>
      <c r="E355" s="2" t="s">
        <v>1688</v>
      </c>
      <c r="F355" s="1"/>
      <c r="H355" s="1"/>
      <c r="I355" s="1"/>
      <c r="J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M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E355" s="1"/>
      <c r="CF355" s="1"/>
      <c r="CG355" s="1"/>
      <c r="CH355" s="1"/>
      <c r="CI355" s="1"/>
      <c r="CJ355" s="1"/>
      <c r="CK355" s="1"/>
      <c r="CL355" s="1"/>
      <c r="CM355" s="1"/>
      <c r="CN355" s="1"/>
      <c r="CO355" s="1"/>
      <c r="CP355" s="1"/>
      <c r="CQ355" s="1"/>
      <c r="CR355" s="1"/>
      <c r="CS355" s="1"/>
      <c r="CT355" s="1"/>
      <c r="CV355" s="1"/>
      <c r="CW355" s="1"/>
      <c r="CX355" s="1"/>
      <c r="CY355" s="1"/>
      <c r="CZ355" s="1"/>
      <c r="DA355" s="1"/>
    </row>
    <row r="356" spans="1:105" s="3" customFormat="1" ht="11.25" customHeight="1" x14ac:dyDescent="0.2">
      <c r="A356" s="3">
        <v>41</v>
      </c>
      <c r="B356" s="3" t="s">
        <v>4405</v>
      </c>
      <c r="C356" s="3" t="s">
        <v>4404</v>
      </c>
      <c r="D356" s="3">
        <v>6060</v>
      </c>
      <c r="E356" s="2" t="s">
        <v>4201</v>
      </c>
      <c r="F356" s="1" t="s">
        <v>106</v>
      </c>
      <c r="G356" s="1" t="s">
        <v>4195</v>
      </c>
      <c r="H356" s="1" t="s">
        <v>4406</v>
      </c>
      <c r="I356" s="1" t="s">
        <v>109</v>
      </c>
      <c r="J356" s="1" t="s">
        <v>106</v>
      </c>
      <c r="K356" s="1" t="s">
        <v>4406</v>
      </c>
      <c r="L356" s="1" t="s">
        <v>111</v>
      </c>
      <c r="M356" s="1" t="s">
        <v>465</v>
      </c>
      <c r="N356" s="1" t="s">
        <v>112</v>
      </c>
      <c r="O356" s="1" t="s">
        <v>113</v>
      </c>
      <c r="P356" s="1" t="s">
        <v>113</v>
      </c>
      <c r="Q356" s="1" t="s">
        <v>152</v>
      </c>
      <c r="R356" s="1" t="s">
        <v>373</v>
      </c>
      <c r="S356" s="1" t="s">
        <v>373</v>
      </c>
      <c r="T356" s="1" t="s">
        <v>106</v>
      </c>
      <c r="U356" s="1" t="s">
        <v>114</v>
      </c>
      <c r="V356" s="1" t="s">
        <v>4407</v>
      </c>
      <c r="W356" s="1" t="s">
        <v>115</v>
      </c>
      <c r="X356" s="1" t="s">
        <v>113</v>
      </c>
      <c r="Y356" s="1" t="s">
        <v>157</v>
      </c>
      <c r="Z356" s="1">
        <v>100</v>
      </c>
      <c r="AA356" s="1" t="s">
        <v>132</v>
      </c>
      <c r="AB356" s="1" t="s">
        <v>128</v>
      </c>
      <c r="AC356" s="1" t="s">
        <v>118</v>
      </c>
      <c r="AD356" s="1">
        <v>5</v>
      </c>
      <c r="AE356" s="1" t="s">
        <v>132</v>
      </c>
      <c r="AF356" s="1">
        <v>726</v>
      </c>
      <c r="AG356" s="1" t="s">
        <v>113</v>
      </c>
      <c r="AH356" s="1">
        <v>40</v>
      </c>
      <c r="AI356" s="1">
        <v>20</v>
      </c>
      <c r="AJ356" s="1">
        <v>40</v>
      </c>
      <c r="AK356" s="1" t="s">
        <v>263</v>
      </c>
      <c r="AL356" s="1">
        <v>300</v>
      </c>
      <c r="AM356" s="1" t="s">
        <v>120</v>
      </c>
      <c r="AN356" s="1">
        <v>250</v>
      </c>
      <c r="AO356" s="1" t="s">
        <v>113</v>
      </c>
      <c r="AP356" s="1" t="s">
        <v>113</v>
      </c>
      <c r="AQ356" s="1" t="s">
        <v>724</v>
      </c>
      <c r="AR356" s="1" t="s">
        <v>724</v>
      </c>
      <c r="AS356" s="1" t="s">
        <v>724</v>
      </c>
      <c r="AT356" s="1" t="s">
        <v>123</v>
      </c>
      <c r="AU356" s="1" t="s">
        <v>113</v>
      </c>
      <c r="AV356" s="1" t="s">
        <v>113</v>
      </c>
      <c r="AW356" s="1" t="s">
        <v>164</v>
      </c>
      <c r="AX356" s="1" t="s">
        <v>206</v>
      </c>
      <c r="AY356" s="1">
        <v>0</v>
      </c>
      <c r="AZ356" s="1" t="s">
        <v>113</v>
      </c>
      <c r="BA356" s="1" t="s">
        <v>113</v>
      </c>
      <c r="BB356" s="1" t="s">
        <v>125</v>
      </c>
      <c r="BC356" s="1" t="s">
        <v>166</v>
      </c>
      <c r="BD356" s="1">
        <v>0</v>
      </c>
      <c r="BE356" s="1">
        <v>100</v>
      </c>
      <c r="BF356" s="1" t="s">
        <v>630</v>
      </c>
      <c r="BG356" s="1" t="s">
        <v>268</v>
      </c>
      <c r="BH356" s="1" t="s">
        <v>269</v>
      </c>
      <c r="BI356" s="1" t="s">
        <v>269</v>
      </c>
      <c r="BJ356" s="1" t="s">
        <v>208</v>
      </c>
      <c r="BK356" s="1">
        <v>5</v>
      </c>
      <c r="BL356" s="1" t="s">
        <v>167</v>
      </c>
      <c r="BM356" s="1" t="s">
        <v>271</v>
      </c>
      <c r="BN356" s="1" t="s">
        <v>276</v>
      </c>
      <c r="BO356" s="1">
        <v>0</v>
      </c>
      <c r="BP356" s="1" t="s">
        <v>115</v>
      </c>
      <c r="BQ356" s="1" t="s">
        <v>4408</v>
      </c>
      <c r="BR356" s="1" t="s">
        <v>4409</v>
      </c>
      <c r="BS356" s="1" t="s">
        <v>4410</v>
      </c>
      <c r="BT356" s="1" t="s">
        <v>172</v>
      </c>
      <c r="BU356" s="1" t="s">
        <v>173</v>
      </c>
      <c r="BV356" s="1" t="s">
        <v>1597</v>
      </c>
      <c r="BW356" s="1" t="s">
        <v>134</v>
      </c>
      <c r="BX356" s="1" t="s">
        <v>633</v>
      </c>
      <c r="BY356" s="1" t="s">
        <v>135</v>
      </c>
      <c r="BZ356" s="1" t="s">
        <v>1029</v>
      </c>
      <c r="CA356" s="1">
        <v>726</v>
      </c>
      <c r="CB356" s="1" t="s">
        <v>244</v>
      </c>
      <c r="CC356" s="1" t="s">
        <v>177</v>
      </c>
      <c r="CD356" s="1" t="s">
        <v>4411</v>
      </c>
      <c r="CE356" s="1" t="s">
        <v>179</v>
      </c>
      <c r="CF356" s="1" t="s">
        <v>4412</v>
      </c>
      <c r="CG356" s="1" t="s">
        <v>4413</v>
      </c>
      <c r="CH356" s="1" t="s">
        <v>4414</v>
      </c>
      <c r="CI356" s="1">
        <v>0</v>
      </c>
      <c r="CJ356" s="1" t="s">
        <v>4415</v>
      </c>
      <c r="CK356" s="1">
        <v>0</v>
      </c>
      <c r="CL356" s="1" t="s">
        <v>4416</v>
      </c>
      <c r="CM356" s="1">
        <v>0</v>
      </c>
      <c r="CN356" s="1" t="s">
        <v>4417</v>
      </c>
      <c r="CO356" s="1">
        <v>0</v>
      </c>
      <c r="CP356" s="1">
        <v>0</v>
      </c>
      <c r="CQ356" s="1">
        <v>0</v>
      </c>
      <c r="CR356" s="1" t="s">
        <v>180</v>
      </c>
      <c r="CS356" s="1" t="s">
        <v>140</v>
      </c>
      <c r="CT356" s="1" t="s">
        <v>3735</v>
      </c>
      <c r="CU356" s="1" t="s">
        <v>617</v>
      </c>
      <c r="CV356" s="1" t="s">
        <v>1505</v>
      </c>
      <c r="CW356" s="1" t="s">
        <v>284</v>
      </c>
      <c r="CX356" s="1" t="s">
        <v>4418</v>
      </c>
      <c r="CY356" s="1" t="s">
        <v>143</v>
      </c>
      <c r="CZ356" s="1" t="s">
        <v>144</v>
      </c>
      <c r="DA356" s="1" t="s">
        <v>145</v>
      </c>
    </row>
    <row r="357" spans="1:105" s="3" customFormat="1" ht="11.25" customHeight="1" x14ac:dyDescent="0.2">
      <c r="A357" s="3">
        <v>41</v>
      </c>
      <c r="B357" s="3" t="s">
        <v>4420</v>
      </c>
      <c r="C357" s="3" t="s">
        <v>4419</v>
      </c>
      <c r="D357" s="3">
        <v>4030</v>
      </c>
      <c r="E357" s="2" t="s">
        <v>4201</v>
      </c>
      <c r="F357" s="1" t="s">
        <v>106</v>
      </c>
      <c r="G357" s="1" t="s">
        <v>107</v>
      </c>
      <c r="H357" s="1" t="s">
        <v>4421</v>
      </c>
      <c r="I357" s="1" t="s">
        <v>3008</v>
      </c>
      <c r="J357" s="1" t="s">
        <v>106</v>
      </c>
      <c r="K357" s="1" t="s">
        <v>4422</v>
      </c>
      <c r="L357" s="1" t="s">
        <v>111</v>
      </c>
      <c r="M357" s="1" t="s">
        <v>191</v>
      </c>
      <c r="N357" s="1" t="s">
        <v>112</v>
      </c>
      <c r="O357" s="1" t="s">
        <v>106</v>
      </c>
      <c r="P357" s="1" t="s">
        <v>113</v>
      </c>
      <c r="Q357" s="1" t="s">
        <v>195</v>
      </c>
      <c r="R357" s="1" t="s">
        <v>4423</v>
      </c>
      <c r="S357" s="1" t="s">
        <v>4424</v>
      </c>
      <c r="T357" s="1" t="s">
        <v>106</v>
      </c>
      <c r="U357" s="1" t="s">
        <v>4425</v>
      </c>
      <c r="V357" s="1" t="s">
        <v>3619</v>
      </c>
      <c r="W357" s="1" t="s">
        <v>199</v>
      </c>
      <c r="X357" s="1" t="s">
        <v>106</v>
      </c>
      <c r="Y357" s="1" t="s">
        <v>4426</v>
      </c>
      <c r="Z357" s="1">
        <v>100</v>
      </c>
      <c r="AA357" s="1" t="s">
        <v>116</v>
      </c>
      <c r="AB357" s="1" t="s">
        <v>128</v>
      </c>
      <c r="AC357" s="1" t="s">
        <v>118</v>
      </c>
      <c r="AD357" s="1">
        <v>20</v>
      </c>
      <c r="AE357" s="1" t="s">
        <v>116</v>
      </c>
      <c r="AF357" s="1">
        <v>384000</v>
      </c>
      <c r="AG357" s="1" t="s">
        <v>106</v>
      </c>
      <c r="AH357" s="1">
        <v>30</v>
      </c>
      <c r="AI357" s="1">
        <v>30</v>
      </c>
      <c r="AJ357" s="1">
        <v>40</v>
      </c>
      <c r="AK357" s="1" t="s">
        <v>119</v>
      </c>
      <c r="AL357" s="5" t="s">
        <v>4427</v>
      </c>
      <c r="AM357" s="1" t="s">
        <v>363</v>
      </c>
      <c r="AN357" s="5" t="s">
        <v>2452</v>
      </c>
      <c r="AO357" s="1" t="s">
        <v>113</v>
      </c>
      <c r="AP357" s="1" t="s">
        <v>106</v>
      </c>
      <c r="AQ357" s="1" t="s">
        <v>4428</v>
      </c>
      <c r="AR357" s="1" t="s">
        <v>4429</v>
      </c>
      <c r="AS357" s="1" t="s">
        <v>4430</v>
      </c>
      <c r="AT357" s="1" t="s">
        <v>123</v>
      </c>
      <c r="AU357" s="1" t="s">
        <v>113</v>
      </c>
      <c r="AV357" s="1" t="s">
        <v>113</v>
      </c>
      <c r="AW357" s="1" t="s">
        <v>164</v>
      </c>
      <c r="AY357" s="5" t="s">
        <v>126</v>
      </c>
      <c r="AZ357" s="1" t="s">
        <v>113</v>
      </c>
      <c r="BA357" s="1" t="s">
        <v>113</v>
      </c>
      <c r="BB357" s="1" t="s">
        <v>125</v>
      </c>
      <c r="BC357" s="1" t="s">
        <v>166</v>
      </c>
      <c r="BD357" s="1">
        <v>0</v>
      </c>
      <c r="BE357" s="1">
        <v>100</v>
      </c>
      <c r="BF357" s="1" t="s">
        <v>167</v>
      </c>
      <c r="BG357" s="1" t="s">
        <v>383</v>
      </c>
      <c r="BH357" s="1" t="s">
        <v>269</v>
      </c>
      <c r="BI357" s="1" t="s">
        <v>269</v>
      </c>
      <c r="BJ357" s="1" t="s">
        <v>384</v>
      </c>
      <c r="BK357" s="1">
        <v>100</v>
      </c>
      <c r="BL357" s="1" t="s">
        <v>294</v>
      </c>
      <c r="BM357" s="1" t="s">
        <v>386</v>
      </c>
      <c r="BN357" s="1">
        <v>2</v>
      </c>
      <c r="BO357" s="1">
        <v>5</v>
      </c>
      <c r="BP357" s="1" t="s">
        <v>115</v>
      </c>
      <c r="BQ357" s="1" t="s">
        <v>4431</v>
      </c>
      <c r="BR357" s="1" t="s">
        <v>4430</v>
      </c>
      <c r="BS357" s="1" t="s">
        <v>4432</v>
      </c>
      <c r="BT357" s="1" t="s">
        <v>172</v>
      </c>
      <c r="BU357" s="1" t="s">
        <v>132</v>
      </c>
      <c r="BV357" s="1" t="s">
        <v>4433</v>
      </c>
      <c r="BW357" s="1" t="s">
        <v>298</v>
      </c>
      <c r="BX357" s="1" t="s">
        <v>325</v>
      </c>
      <c r="BY357" s="1" t="s">
        <v>1525</v>
      </c>
      <c r="BZ357" s="1">
        <v>193007</v>
      </c>
      <c r="CA357" s="1">
        <v>384000</v>
      </c>
      <c r="CB357" s="1" t="s">
        <v>244</v>
      </c>
      <c r="CC357" s="1" t="s">
        <v>217</v>
      </c>
      <c r="CD357" s="1" t="s">
        <v>4434</v>
      </c>
      <c r="CE357" s="1" t="s">
        <v>179</v>
      </c>
      <c r="CF357" s="1">
        <v>238812.45</v>
      </c>
      <c r="CG357" s="1">
        <v>309425</v>
      </c>
      <c r="CH357" s="5" t="s">
        <v>126</v>
      </c>
      <c r="CI357" s="1" t="s">
        <v>4435</v>
      </c>
      <c r="CJ357" s="1" t="s">
        <v>4436</v>
      </c>
      <c r="CK357" s="1" t="s">
        <v>4437</v>
      </c>
      <c r="CL357" s="1">
        <v>11590</v>
      </c>
      <c r="CM357" s="5" t="s">
        <v>1365</v>
      </c>
      <c r="CN357" s="1">
        <v>334</v>
      </c>
      <c r="CO357" s="5" t="s">
        <v>126</v>
      </c>
      <c r="CP357" s="1">
        <v>248</v>
      </c>
      <c r="CQ357" s="5" t="s">
        <v>126</v>
      </c>
      <c r="CR357" s="1" t="s">
        <v>139</v>
      </c>
      <c r="CS357" s="1" t="s">
        <v>140</v>
      </c>
      <c r="CT357" s="1" t="s">
        <v>394</v>
      </c>
      <c r="CV357" s="1" t="s">
        <v>4438</v>
      </c>
      <c r="CW357" s="1" t="s">
        <v>141</v>
      </c>
      <c r="CX357" s="1" t="s">
        <v>4439</v>
      </c>
      <c r="CY357" s="5" t="s">
        <v>126</v>
      </c>
    </row>
    <row r="358" spans="1:105" s="3" customFormat="1" ht="11.25" customHeight="1" x14ac:dyDescent="0.2">
      <c r="A358" s="3">
        <v>41</v>
      </c>
      <c r="B358" s="3" t="s">
        <v>4441</v>
      </c>
      <c r="C358" s="3" t="s">
        <v>4440</v>
      </c>
      <c r="D358" s="3">
        <v>345644</v>
      </c>
      <c r="E358" s="2" t="s">
        <v>4201</v>
      </c>
      <c r="F358" s="1" t="s">
        <v>106</v>
      </c>
      <c r="G358" s="1" t="s">
        <v>107</v>
      </c>
      <c r="H358" s="1" t="s">
        <v>110</v>
      </c>
      <c r="I358" s="1" t="s">
        <v>109</v>
      </c>
      <c r="J358" s="1" t="s">
        <v>106</v>
      </c>
      <c r="K358" s="1" t="s">
        <v>110</v>
      </c>
      <c r="L358" s="1" t="s">
        <v>1943</v>
      </c>
      <c r="M358" s="1" t="s">
        <v>4442</v>
      </c>
      <c r="N358" s="1" t="s">
        <v>4443</v>
      </c>
      <c r="O358" s="1" t="s">
        <v>113</v>
      </c>
      <c r="P358" s="1" t="s">
        <v>106</v>
      </c>
      <c r="Q358" s="1" t="s">
        <v>195</v>
      </c>
      <c r="R358" s="1" t="s">
        <v>4444</v>
      </c>
      <c r="S358" s="1" t="s">
        <v>4444</v>
      </c>
      <c r="T358" s="1" t="s">
        <v>106</v>
      </c>
      <c r="U358" s="1" t="s">
        <v>4445</v>
      </c>
      <c r="V358" s="1" t="s">
        <v>4446</v>
      </c>
      <c r="W358" s="1" t="s">
        <v>199</v>
      </c>
      <c r="X358" s="1" t="s">
        <v>106</v>
      </c>
      <c r="Y358" s="1" t="s">
        <v>4447</v>
      </c>
      <c r="Z358" s="1">
        <v>100</v>
      </c>
      <c r="AA358" s="1" t="s">
        <v>132</v>
      </c>
      <c r="AB358" s="1" t="s">
        <v>117</v>
      </c>
      <c r="AC358" s="1" t="s">
        <v>384</v>
      </c>
      <c r="AD358" s="1">
        <v>100</v>
      </c>
      <c r="AE358" s="1" t="s">
        <v>132</v>
      </c>
      <c r="AF358" s="4">
        <v>88090</v>
      </c>
      <c r="AG358" s="1" t="s">
        <v>106</v>
      </c>
      <c r="AH358" s="1">
        <v>40</v>
      </c>
      <c r="AI358" s="1">
        <v>20</v>
      </c>
      <c r="AJ358" s="1">
        <v>50</v>
      </c>
      <c r="AK358" s="1" t="s">
        <v>263</v>
      </c>
      <c r="AL358" s="1">
        <v>2000</v>
      </c>
      <c r="AM358" s="1" t="s">
        <v>4448</v>
      </c>
      <c r="AN358" s="1">
        <v>2000</v>
      </c>
      <c r="AO358" s="1" t="s">
        <v>113</v>
      </c>
      <c r="AP358" s="1" t="s">
        <v>106</v>
      </c>
      <c r="AQ358" s="1" t="s">
        <v>4449</v>
      </c>
      <c r="AR358" s="1" t="s">
        <v>4450</v>
      </c>
      <c r="AS358" s="1" t="s">
        <v>4451</v>
      </c>
      <c r="AT358" s="1" t="s">
        <v>1541</v>
      </c>
      <c r="AU358" s="1" t="s">
        <v>106</v>
      </c>
      <c r="AV358" s="1" t="s">
        <v>106</v>
      </c>
      <c r="AW358" s="1" t="s">
        <v>164</v>
      </c>
      <c r="AX358" s="1" t="s">
        <v>165</v>
      </c>
      <c r="AY358" s="1">
        <v>4477</v>
      </c>
      <c r="AZ358" s="1" t="s">
        <v>113</v>
      </c>
      <c r="BA358" s="1" t="s">
        <v>113</v>
      </c>
      <c r="BB358" s="1" t="s">
        <v>125</v>
      </c>
      <c r="BC358" s="1" t="s">
        <v>166</v>
      </c>
      <c r="BD358" s="1">
        <v>0</v>
      </c>
      <c r="BE358" s="1">
        <v>100</v>
      </c>
      <c r="BF358" s="1" t="s">
        <v>4452</v>
      </c>
      <c r="BG358" s="1" t="s">
        <v>1188</v>
      </c>
      <c r="BH358" s="1" t="s">
        <v>169</v>
      </c>
      <c r="BI358" s="1" t="s">
        <v>169</v>
      </c>
      <c r="BJ358" s="1" t="s">
        <v>384</v>
      </c>
      <c r="BK358" s="1">
        <v>100</v>
      </c>
      <c r="BL358" s="1" t="s">
        <v>1165</v>
      </c>
      <c r="BM358" s="1" t="s">
        <v>472</v>
      </c>
      <c r="BN358" s="1" t="s">
        <v>143</v>
      </c>
      <c r="BO358" s="1" t="s">
        <v>143</v>
      </c>
      <c r="BP358" s="1" t="s">
        <v>115</v>
      </c>
      <c r="BQ358" s="1" t="s">
        <v>110</v>
      </c>
      <c r="BR358" s="1" t="s">
        <v>4453</v>
      </c>
      <c r="BS358" s="1" t="s">
        <v>130</v>
      </c>
      <c r="BT358" s="1" t="s">
        <v>131</v>
      </c>
      <c r="BU358" s="1" t="s">
        <v>173</v>
      </c>
      <c r="BV358" s="1" t="s">
        <v>817</v>
      </c>
      <c r="BW358" s="1" t="s">
        <v>134</v>
      </c>
      <c r="BX358" s="1" t="s">
        <v>276</v>
      </c>
      <c r="BY358" s="1" t="s">
        <v>135</v>
      </c>
      <c r="BZ358" s="1" t="s">
        <v>157</v>
      </c>
      <c r="CA358" s="1">
        <v>86747</v>
      </c>
      <c r="CB358" s="1" t="s">
        <v>176</v>
      </c>
      <c r="CC358" s="1" t="s">
        <v>496</v>
      </c>
      <c r="CD358" s="1" t="s">
        <v>4454</v>
      </c>
      <c r="CE358" s="1" t="s">
        <v>478</v>
      </c>
      <c r="CF358" s="1">
        <v>33628208.939999998</v>
      </c>
      <c r="CG358" s="1">
        <v>41746980.759999998</v>
      </c>
      <c r="CH358" s="1">
        <v>17223417.149999999</v>
      </c>
      <c r="CI358" s="1">
        <v>6385872.1500000004</v>
      </c>
      <c r="CJ358" s="1">
        <v>8615261</v>
      </c>
      <c r="CK358" s="1">
        <v>2817914.4</v>
      </c>
      <c r="CL358" s="1" t="s">
        <v>4455</v>
      </c>
      <c r="CM358" s="1">
        <v>0</v>
      </c>
      <c r="CN358" s="1" t="s">
        <v>4456</v>
      </c>
      <c r="CO358" s="1">
        <v>0</v>
      </c>
      <c r="CP358" s="1" t="s">
        <v>4457</v>
      </c>
      <c r="CQ358" s="1" t="s">
        <v>4457</v>
      </c>
      <c r="CR358" s="1" t="s">
        <v>180</v>
      </c>
      <c r="CS358" s="1" t="s">
        <v>4458</v>
      </c>
      <c r="CT358" s="1" t="s">
        <v>4459</v>
      </c>
      <c r="CU358" s="1" t="s">
        <v>821</v>
      </c>
      <c r="CV358" s="1" t="s">
        <v>500</v>
      </c>
      <c r="CW358" s="1" t="s">
        <v>251</v>
      </c>
      <c r="CX358" s="1" t="s">
        <v>724</v>
      </c>
      <c r="CY358" s="1" t="s">
        <v>276</v>
      </c>
      <c r="CZ358" s="1" t="s">
        <v>144</v>
      </c>
      <c r="DA358" s="1" t="s">
        <v>145</v>
      </c>
    </row>
    <row r="359" spans="1:105" s="3" customFormat="1" ht="11.25" customHeight="1" x14ac:dyDescent="0.2">
      <c r="A359" s="1">
        <v>41</v>
      </c>
      <c r="B359" s="1" t="s">
        <v>4460</v>
      </c>
      <c r="C359" s="1" t="s">
        <v>4461</v>
      </c>
      <c r="D359" s="1">
        <v>45830</v>
      </c>
      <c r="E359" s="2" t="s">
        <v>1688</v>
      </c>
      <c r="F359" s="1"/>
      <c r="G359" s="1"/>
      <c r="H359" s="1"/>
      <c r="I359" s="1"/>
      <c r="J359" s="1"/>
      <c r="L359" s="1"/>
      <c r="M359" s="1"/>
      <c r="N359" s="1"/>
      <c r="O359" s="1"/>
      <c r="P359" s="1"/>
      <c r="Q359" s="1"/>
      <c r="R359" s="1"/>
      <c r="S359" s="1"/>
      <c r="T359" s="1"/>
      <c r="U359" s="1"/>
      <c r="W359" s="1"/>
      <c r="X359" s="1"/>
      <c r="Y359" s="1"/>
      <c r="Z359" s="1"/>
      <c r="AA359" s="1"/>
      <c r="AB359" s="1"/>
      <c r="AC359" s="1"/>
      <c r="AD359" s="1"/>
      <c r="AE359" s="1"/>
      <c r="AF359" s="1"/>
      <c r="AG359" s="1"/>
      <c r="AH359" s="1"/>
      <c r="AI359" s="1"/>
      <c r="AJ359" s="1"/>
      <c r="AK359" s="1"/>
      <c r="AL359" s="5"/>
      <c r="AM359" s="1"/>
      <c r="AN359" s="5"/>
      <c r="AO359" s="1"/>
      <c r="AP359" s="1"/>
      <c r="AQ359" s="1"/>
      <c r="AR359" s="1"/>
      <c r="AS359" s="1"/>
      <c r="AT359" s="1"/>
      <c r="AU359" s="1"/>
      <c r="AV359" s="1"/>
      <c r="AW359" s="1"/>
      <c r="AX359" s="1"/>
      <c r="AY359" s="1"/>
      <c r="AZ359" s="1"/>
      <c r="BA359" s="1"/>
      <c r="BB359" s="1"/>
      <c r="BD359" s="5"/>
      <c r="BE359" s="1"/>
      <c r="BF359" s="1"/>
      <c r="BG359" s="1"/>
      <c r="BH359" s="1"/>
      <c r="BI359" s="1"/>
      <c r="BJ359" s="1"/>
      <c r="BK359" s="1"/>
      <c r="BL359" s="1"/>
      <c r="BM359" s="1"/>
      <c r="BN359" s="1"/>
      <c r="BO359" s="5"/>
      <c r="BP359" s="1"/>
      <c r="BQ359" s="1"/>
      <c r="BR359" s="1"/>
      <c r="BS359" s="1"/>
      <c r="BT359" s="1"/>
      <c r="BU359" s="1"/>
      <c r="BV359" s="1"/>
      <c r="BW359" s="1"/>
      <c r="BX359" s="1"/>
      <c r="BY359" s="1"/>
      <c r="BZ359" s="1"/>
      <c r="CA359" s="1"/>
      <c r="CB359" s="1"/>
      <c r="CC359" s="1"/>
      <c r="CD359" s="1"/>
      <c r="CE359" s="1"/>
      <c r="CF359" s="1"/>
      <c r="CG359" s="6"/>
      <c r="CH359" s="1"/>
      <c r="CI359" s="5"/>
      <c r="CJ359" s="1"/>
      <c r="CK359" s="1"/>
      <c r="CL359" s="1"/>
      <c r="CM359" s="1"/>
      <c r="CN359" s="5"/>
      <c r="CO359" s="5"/>
      <c r="CP359" s="5"/>
      <c r="CQ359" s="5"/>
      <c r="CR359" s="1"/>
      <c r="CS359" s="1"/>
      <c r="CT359" s="1"/>
      <c r="CV359" s="1"/>
      <c r="CW359" s="1"/>
      <c r="CX359" s="1"/>
      <c r="CY359" s="1"/>
      <c r="CZ359" s="1"/>
      <c r="DA359" s="1"/>
    </row>
    <row r="360" spans="1:105" s="3" customFormat="1" ht="11.25" customHeight="1" x14ac:dyDescent="0.2">
      <c r="A360" s="3">
        <v>41</v>
      </c>
      <c r="B360" s="3" t="s">
        <v>4463</v>
      </c>
      <c r="C360" s="3" t="s">
        <v>4462</v>
      </c>
      <c r="D360" s="3">
        <v>2173</v>
      </c>
      <c r="E360" s="2" t="s">
        <v>4201</v>
      </c>
      <c r="F360" s="1" t="s">
        <v>113</v>
      </c>
      <c r="H360" s="1" t="s">
        <v>332</v>
      </c>
      <c r="I360" s="1" t="s">
        <v>193</v>
      </c>
      <c r="J360" s="1" t="s">
        <v>229</v>
      </c>
      <c r="L360" s="1" t="s">
        <v>111</v>
      </c>
      <c r="M360" s="1" t="s">
        <v>191</v>
      </c>
      <c r="N360" s="1" t="s">
        <v>112</v>
      </c>
      <c r="O360" s="1" t="s">
        <v>113</v>
      </c>
      <c r="P360" s="1" t="s">
        <v>113</v>
      </c>
      <c r="Q360" s="1" t="s">
        <v>1298</v>
      </c>
      <c r="R360" s="1" t="s">
        <v>157</v>
      </c>
      <c r="S360" s="1" t="s">
        <v>157</v>
      </c>
      <c r="T360" s="1" t="s">
        <v>106</v>
      </c>
      <c r="U360" s="1" t="s">
        <v>4464</v>
      </c>
      <c r="V360" s="1" t="s">
        <v>3660</v>
      </c>
      <c r="W360" s="1" t="s">
        <v>199</v>
      </c>
      <c r="X360" s="1" t="s">
        <v>113</v>
      </c>
      <c r="Y360" s="1" t="s">
        <v>157</v>
      </c>
      <c r="Z360" s="1">
        <v>100</v>
      </c>
      <c r="AA360" s="1" t="s">
        <v>159</v>
      </c>
      <c r="AB360" s="1" t="s">
        <v>128</v>
      </c>
      <c r="AC360" s="1" t="s">
        <v>128</v>
      </c>
      <c r="AD360" s="1">
        <v>0</v>
      </c>
      <c r="AE360" s="1" t="s">
        <v>159</v>
      </c>
      <c r="AF360" s="1">
        <v>0</v>
      </c>
      <c r="AG360" s="1" t="s">
        <v>113</v>
      </c>
      <c r="AH360" s="1">
        <v>0</v>
      </c>
      <c r="AI360" s="1">
        <v>0</v>
      </c>
      <c r="AJ360" s="1">
        <v>0</v>
      </c>
      <c r="AK360" s="1" t="s">
        <v>758</v>
      </c>
      <c r="AM360" s="1" t="s">
        <v>4465</v>
      </c>
      <c r="AO360" s="1" t="s">
        <v>113</v>
      </c>
      <c r="AP360" s="1" t="s">
        <v>113</v>
      </c>
      <c r="AQ360" s="1" t="s">
        <v>157</v>
      </c>
      <c r="AR360" s="1" t="s">
        <v>157</v>
      </c>
      <c r="AS360" s="1" t="s">
        <v>157</v>
      </c>
      <c r="AT360" s="1" t="s">
        <v>123</v>
      </c>
      <c r="AU360" s="1" t="s">
        <v>113</v>
      </c>
      <c r="AV360" s="1" t="s">
        <v>113</v>
      </c>
      <c r="AW360" s="1" t="s">
        <v>164</v>
      </c>
      <c r="AX360" s="1" t="s">
        <v>165</v>
      </c>
      <c r="AY360" s="1">
        <v>0</v>
      </c>
      <c r="AZ360" s="1" t="s">
        <v>113</v>
      </c>
      <c r="BA360" s="1" t="s">
        <v>113</v>
      </c>
      <c r="BB360" s="1" t="s">
        <v>125</v>
      </c>
      <c r="BC360" s="1" t="s">
        <v>166</v>
      </c>
      <c r="BD360" s="1">
        <v>0</v>
      </c>
      <c r="BE360" s="1">
        <v>100</v>
      </c>
      <c r="BF360" s="1" t="s">
        <v>167</v>
      </c>
      <c r="BG360" s="1" t="s">
        <v>383</v>
      </c>
      <c r="BH360" s="1" t="s">
        <v>269</v>
      </c>
      <c r="BI360" s="1" t="s">
        <v>269</v>
      </c>
      <c r="BJ360" s="1" t="s">
        <v>384</v>
      </c>
      <c r="BK360" s="1">
        <v>100</v>
      </c>
      <c r="BL360" s="1" t="s">
        <v>294</v>
      </c>
      <c r="BM360" s="1" t="s">
        <v>386</v>
      </c>
      <c r="BN360" s="1" t="s">
        <v>276</v>
      </c>
      <c r="BO360" s="1" t="s">
        <v>4466</v>
      </c>
      <c r="BP360" s="1" t="s">
        <v>124</v>
      </c>
      <c r="BQ360" s="1" t="s">
        <v>4467</v>
      </c>
      <c r="BR360" s="1" t="s">
        <v>4468</v>
      </c>
      <c r="BS360" s="1" t="s">
        <v>4469</v>
      </c>
      <c r="BT360" s="1" t="s">
        <v>172</v>
      </c>
      <c r="BU360" s="1" t="s">
        <v>239</v>
      </c>
      <c r="BV360" s="1" t="s">
        <v>3895</v>
      </c>
      <c r="BW360" s="1" t="s">
        <v>134</v>
      </c>
      <c r="BX360" s="1" t="s">
        <v>695</v>
      </c>
      <c r="BY360" s="1" t="s">
        <v>135</v>
      </c>
      <c r="BZ360" s="1" t="s">
        <v>161</v>
      </c>
      <c r="CA360" s="1">
        <v>0</v>
      </c>
      <c r="CB360" s="1" t="s">
        <v>244</v>
      </c>
      <c r="CC360" s="1" t="s">
        <v>177</v>
      </c>
      <c r="CE360" s="1" t="s">
        <v>179</v>
      </c>
      <c r="CF360" s="1">
        <v>64923.839999999997</v>
      </c>
      <c r="CG360" s="1">
        <v>148204.20000000001</v>
      </c>
      <c r="CH360" s="1">
        <v>0</v>
      </c>
      <c r="CI360" s="1">
        <v>0</v>
      </c>
      <c r="CJ360" s="1">
        <v>0</v>
      </c>
      <c r="CK360" s="1">
        <v>95499.63</v>
      </c>
      <c r="CL360" s="1">
        <v>72600</v>
      </c>
      <c r="CM360" s="1">
        <v>148204</v>
      </c>
      <c r="CN360" s="1">
        <v>117072</v>
      </c>
      <c r="CO360" s="1">
        <v>0</v>
      </c>
      <c r="CP360" s="1">
        <v>351216</v>
      </c>
      <c r="CQ360" s="1">
        <v>0</v>
      </c>
      <c r="CR360" s="1" t="s">
        <v>139</v>
      </c>
      <c r="CS360" s="1" t="s">
        <v>4470</v>
      </c>
      <c r="CT360" s="1" t="s">
        <v>394</v>
      </c>
      <c r="CV360" s="1" t="s">
        <v>4471</v>
      </c>
      <c r="CW360" s="1" t="s">
        <v>251</v>
      </c>
      <c r="CX360" s="1" t="s">
        <v>157</v>
      </c>
      <c r="CY360" s="1" t="s">
        <v>276</v>
      </c>
      <c r="CZ360" s="1" t="s">
        <v>144</v>
      </c>
      <c r="DA360" s="1" t="s">
        <v>145</v>
      </c>
    </row>
    <row r="361" spans="1:105" s="3" customFormat="1" ht="11.25" customHeight="1" x14ac:dyDescent="0.2">
      <c r="A361" s="3">
        <v>41</v>
      </c>
      <c r="B361" s="3" t="s">
        <v>4473</v>
      </c>
      <c r="C361" s="3" t="s">
        <v>4472</v>
      </c>
      <c r="D361" s="3">
        <v>30198</v>
      </c>
      <c r="E361" s="2" t="s">
        <v>4201</v>
      </c>
      <c r="F361" s="1" t="s">
        <v>113</v>
      </c>
      <c r="H361" s="1" t="s">
        <v>2305</v>
      </c>
      <c r="I361" s="1" t="s">
        <v>193</v>
      </c>
      <c r="J361" s="1" t="s">
        <v>113</v>
      </c>
      <c r="K361" s="1" t="s">
        <v>2305</v>
      </c>
      <c r="L361" s="1" t="s">
        <v>111</v>
      </c>
      <c r="M361" s="1" t="s">
        <v>115</v>
      </c>
      <c r="N361" s="1" t="s">
        <v>1315</v>
      </c>
      <c r="O361" s="1" t="s">
        <v>106</v>
      </c>
      <c r="P361" s="1" t="s">
        <v>113</v>
      </c>
      <c r="Q361" s="1" t="s">
        <v>195</v>
      </c>
      <c r="R361" s="1" t="s">
        <v>4474</v>
      </c>
      <c r="S361" s="1" t="s">
        <v>564</v>
      </c>
      <c r="T361" s="1" t="s">
        <v>106</v>
      </c>
      <c r="U361" s="1" t="s">
        <v>4475</v>
      </c>
      <c r="V361" s="1" t="s">
        <v>4476</v>
      </c>
      <c r="W361" s="1" t="s">
        <v>115</v>
      </c>
      <c r="X361" s="1" t="s">
        <v>113</v>
      </c>
      <c r="Y361" s="1" t="s">
        <v>564</v>
      </c>
      <c r="Z361" s="1">
        <v>100</v>
      </c>
      <c r="AA361" s="1" t="s">
        <v>116</v>
      </c>
      <c r="AB361" s="1" t="s">
        <v>128</v>
      </c>
      <c r="AC361" s="1" t="s">
        <v>118</v>
      </c>
      <c r="AD361" s="1">
        <v>90</v>
      </c>
      <c r="AE361" s="1" t="s">
        <v>116</v>
      </c>
      <c r="AF361" s="1">
        <v>3900</v>
      </c>
      <c r="AG361" s="1" t="s">
        <v>113</v>
      </c>
      <c r="AH361" s="1">
        <v>0</v>
      </c>
      <c r="AI361" s="1">
        <v>0</v>
      </c>
      <c r="AJ361" s="1">
        <v>0</v>
      </c>
      <c r="AK361" s="1" t="s">
        <v>626</v>
      </c>
      <c r="AL361" s="1">
        <v>100</v>
      </c>
      <c r="AM361" s="1" t="s">
        <v>131</v>
      </c>
      <c r="AN361" s="1">
        <v>100</v>
      </c>
      <c r="AO361" s="1" t="s">
        <v>113</v>
      </c>
      <c r="AP361" s="1" t="s">
        <v>113</v>
      </c>
      <c r="AQ361" s="1" t="s">
        <v>564</v>
      </c>
      <c r="AR361" s="1" t="s">
        <v>564</v>
      </c>
      <c r="AS361" s="1" t="s">
        <v>564</v>
      </c>
      <c r="AT361" s="1" t="s">
        <v>489</v>
      </c>
      <c r="AU361" s="1" t="s">
        <v>106</v>
      </c>
      <c r="AV361" s="1" t="s">
        <v>113</v>
      </c>
      <c r="AW361" s="1" t="s">
        <v>234</v>
      </c>
      <c r="AX361" s="1" t="s">
        <v>550</v>
      </c>
      <c r="AY361" s="1">
        <v>0</v>
      </c>
      <c r="AZ361" s="1" t="s">
        <v>113</v>
      </c>
      <c r="BA361" s="1" t="s">
        <v>113</v>
      </c>
      <c r="BB361" s="1" t="s">
        <v>125</v>
      </c>
      <c r="BD361" s="1">
        <v>0</v>
      </c>
      <c r="BE361" s="1">
        <v>100</v>
      </c>
      <c r="BF361" s="1" t="s">
        <v>167</v>
      </c>
      <c r="BG361" s="1" t="s">
        <v>383</v>
      </c>
      <c r="BH361" s="1" t="s">
        <v>269</v>
      </c>
      <c r="BI361" s="1" t="s">
        <v>269</v>
      </c>
      <c r="BJ361" s="1" t="s">
        <v>208</v>
      </c>
      <c r="BK361" s="1">
        <v>90</v>
      </c>
      <c r="BL361" s="1" t="s">
        <v>167</v>
      </c>
      <c r="BM361" s="1" t="s">
        <v>386</v>
      </c>
      <c r="BN361" s="1">
        <v>40</v>
      </c>
      <c r="BO361" s="1">
        <v>10</v>
      </c>
      <c r="BP361" s="1" t="s">
        <v>947</v>
      </c>
      <c r="BQ361" s="1" t="s">
        <v>4477</v>
      </c>
      <c r="BR361" s="1" t="s">
        <v>4478</v>
      </c>
      <c r="BS361" s="1" t="s">
        <v>4479</v>
      </c>
      <c r="BT361" s="1" t="s">
        <v>172</v>
      </c>
      <c r="BU361" s="1" t="s">
        <v>239</v>
      </c>
      <c r="BV361" s="1" t="s">
        <v>474</v>
      </c>
      <c r="BW361" s="1" t="s">
        <v>134</v>
      </c>
      <c r="BX361" s="1" t="s">
        <v>135</v>
      </c>
      <c r="BY361" s="1" t="s">
        <v>135</v>
      </c>
      <c r="BZ361" s="1" t="s">
        <v>4480</v>
      </c>
      <c r="CA361" s="1">
        <v>3900</v>
      </c>
      <c r="CB361" s="1" t="s">
        <v>176</v>
      </c>
      <c r="CC361" s="1" t="s">
        <v>301</v>
      </c>
      <c r="CD361" s="1" t="s">
        <v>4481</v>
      </c>
      <c r="CE361" s="1" t="s">
        <v>219</v>
      </c>
      <c r="CF361" s="1">
        <v>1806335</v>
      </c>
      <c r="CG361" s="1">
        <v>2016436.49</v>
      </c>
      <c r="CH361" s="1">
        <v>347.85</v>
      </c>
      <c r="CI361" s="1">
        <v>0</v>
      </c>
      <c r="CJ361" s="1">
        <v>48</v>
      </c>
      <c r="CK361" s="1">
        <v>391</v>
      </c>
      <c r="CL361" s="1">
        <v>408</v>
      </c>
      <c r="CM361" s="1">
        <v>48</v>
      </c>
      <c r="CN361" s="1">
        <v>76</v>
      </c>
      <c r="CO361" s="1">
        <v>0</v>
      </c>
      <c r="CP361" s="1">
        <v>0</v>
      </c>
      <c r="CQ361" s="1">
        <v>0</v>
      </c>
      <c r="CR361" s="1" t="s">
        <v>139</v>
      </c>
      <c r="CS361" s="1" t="s">
        <v>308</v>
      </c>
      <c r="CT361" s="1" t="s">
        <v>479</v>
      </c>
      <c r="CV361" s="1" t="s">
        <v>1611</v>
      </c>
      <c r="CW361" s="1" t="s">
        <v>251</v>
      </c>
      <c r="CX361" s="1" t="s">
        <v>564</v>
      </c>
      <c r="CY361" s="1" t="s">
        <v>4482</v>
      </c>
      <c r="CZ361" s="1" t="s">
        <v>144</v>
      </c>
      <c r="DA361" s="1" t="s">
        <v>145</v>
      </c>
    </row>
    <row r="362" spans="1:105" s="3" customFormat="1" ht="11.25" customHeight="1" x14ac:dyDescent="0.2">
      <c r="A362" s="3">
        <v>41</v>
      </c>
      <c r="B362" s="3" t="s">
        <v>4484</v>
      </c>
      <c r="C362" s="3" t="s">
        <v>4483</v>
      </c>
      <c r="D362" s="3">
        <v>5769</v>
      </c>
      <c r="E362" s="2" t="s">
        <v>4201</v>
      </c>
      <c r="F362" s="1" t="s">
        <v>106</v>
      </c>
      <c r="G362" s="1" t="s">
        <v>1495</v>
      </c>
      <c r="H362" s="1" t="s">
        <v>4485</v>
      </c>
      <c r="I362" s="1" t="s">
        <v>4486</v>
      </c>
      <c r="J362" s="1" t="s">
        <v>113</v>
      </c>
      <c r="L362" s="1" t="s">
        <v>149</v>
      </c>
      <c r="M362" s="1" t="s">
        <v>4487</v>
      </c>
      <c r="N362" s="1" t="s">
        <v>112</v>
      </c>
      <c r="O362" s="1" t="s">
        <v>106</v>
      </c>
      <c r="P362" s="1" t="s">
        <v>106</v>
      </c>
      <c r="Q362" s="1" t="s">
        <v>195</v>
      </c>
      <c r="R362" s="1" t="s">
        <v>4488</v>
      </c>
      <c r="S362" s="1" t="s">
        <v>4489</v>
      </c>
      <c r="T362" s="1" t="s">
        <v>106</v>
      </c>
      <c r="U362" s="1" t="s">
        <v>4490</v>
      </c>
      <c r="V362" s="1" t="s">
        <v>4491</v>
      </c>
      <c r="W362" s="1" t="s">
        <v>115</v>
      </c>
      <c r="X362" s="1" t="s">
        <v>113</v>
      </c>
      <c r="Y362" s="1" t="s">
        <v>564</v>
      </c>
      <c r="Z362" s="1">
        <v>100</v>
      </c>
      <c r="AA362" s="1" t="s">
        <v>116</v>
      </c>
      <c r="AB362" s="1" t="s">
        <v>128</v>
      </c>
      <c r="AC362" s="1" t="s">
        <v>384</v>
      </c>
      <c r="AD362" s="1">
        <v>95</v>
      </c>
      <c r="AE362" s="1" t="s">
        <v>116</v>
      </c>
      <c r="AF362" s="1">
        <v>21116</v>
      </c>
      <c r="AG362" s="1" t="s">
        <v>113</v>
      </c>
      <c r="AH362" s="1">
        <v>0</v>
      </c>
      <c r="AI362" s="1">
        <v>30</v>
      </c>
      <c r="AJ362" s="1">
        <v>0</v>
      </c>
      <c r="AK362" s="1" t="s">
        <v>232</v>
      </c>
      <c r="AL362" s="1">
        <v>0</v>
      </c>
      <c r="AM362" s="1" t="s">
        <v>131</v>
      </c>
      <c r="AN362" s="1">
        <v>0</v>
      </c>
      <c r="AO362" s="1" t="s">
        <v>113</v>
      </c>
      <c r="AP362" s="1" t="s">
        <v>106</v>
      </c>
      <c r="AQ362" s="1" t="s">
        <v>4492</v>
      </c>
      <c r="AR362" s="1" t="s">
        <v>4493</v>
      </c>
      <c r="AS362" s="1" t="s">
        <v>4494</v>
      </c>
      <c r="AT362" s="1" t="s">
        <v>123</v>
      </c>
      <c r="AU362" s="1" t="s">
        <v>113</v>
      </c>
      <c r="AV362" s="1" t="s">
        <v>106</v>
      </c>
      <c r="AW362" s="1" t="s">
        <v>164</v>
      </c>
      <c r="AX362" s="1" t="s">
        <v>165</v>
      </c>
      <c r="AY362" s="1">
        <v>0</v>
      </c>
      <c r="AZ362" s="1" t="s">
        <v>113</v>
      </c>
      <c r="BA362" s="1" t="s">
        <v>113</v>
      </c>
      <c r="BB362" s="1" t="s">
        <v>125</v>
      </c>
      <c r="BC362" s="1" t="s">
        <v>166</v>
      </c>
      <c r="BD362" s="1">
        <v>0</v>
      </c>
      <c r="BE362" s="1">
        <v>95</v>
      </c>
      <c r="BF362" s="1" t="s">
        <v>167</v>
      </c>
      <c r="BG362" s="1" t="s">
        <v>268</v>
      </c>
      <c r="BH362" s="1" t="s">
        <v>169</v>
      </c>
      <c r="BI362" s="1" t="s">
        <v>269</v>
      </c>
      <c r="BJ362" s="1" t="s">
        <v>384</v>
      </c>
      <c r="BK362" s="1">
        <v>95</v>
      </c>
      <c r="BL362" s="1" t="s">
        <v>4495</v>
      </c>
      <c r="BM362" s="1" t="s">
        <v>271</v>
      </c>
      <c r="BN362" s="1">
        <v>13</v>
      </c>
      <c r="BO362" s="1">
        <v>13</v>
      </c>
      <c r="BP362" s="1" t="s">
        <v>947</v>
      </c>
      <c r="BQ362" s="1" t="s">
        <v>3702</v>
      </c>
      <c r="BR362" s="1" t="s">
        <v>4496</v>
      </c>
      <c r="BS362" s="1" t="s">
        <v>4497</v>
      </c>
      <c r="BT362" s="1" t="s">
        <v>131</v>
      </c>
      <c r="BU362" s="1" t="s">
        <v>132</v>
      </c>
      <c r="BV362" s="1" t="s">
        <v>2994</v>
      </c>
      <c r="BW362" s="1" t="s">
        <v>134</v>
      </c>
      <c r="BX362" s="1" t="s">
        <v>1669</v>
      </c>
      <c r="BY362" s="1" t="s">
        <v>135</v>
      </c>
      <c r="BZ362" s="1" t="s">
        <v>157</v>
      </c>
      <c r="CA362" s="1">
        <v>0</v>
      </c>
      <c r="CB362" s="1" t="s">
        <v>244</v>
      </c>
      <c r="CC362" s="1" t="s">
        <v>177</v>
      </c>
      <c r="CE362" s="1" t="s">
        <v>179</v>
      </c>
      <c r="CF362" s="1">
        <v>0</v>
      </c>
      <c r="CG362" s="1">
        <v>600000</v>
      </c>
      <c r="CH362" s="1">
        <v>0</v>
      </c>
      <c r="CI362" s="1">
        <v>0</v>
      </c>
      <c r="CJ362" s="1">
        <v>0</v>
      </c>
      <c r="CK362" s="1">
        <v>0</v>
      </c>
      <c r="CL362" s="1">
        <v>0</v>
      </c>
      <c r="CM362" s="1">
        <v>0</v>
      </c>
      <c r="CN362" s="1">
        <v>0</v>
      </c>
      <c r="CO362" s="1">
        <v>0</v>
      </c>
      <c r="CP362" s="1">
        <v>0</v>
      </c>
      <c r="CQ362" s="1">
        <v>0</v>
      </c>
      <c r="CR362" s="1" t="s">
        <v>418</v>
      </c>
      <c r="CS362" s="1" t="s">
        <v>308</v>
      </c>
      <c r="CT362" s="1" t="s">
        <v>4498</v>
      </c>
      <c r="CU362" s="1" t="s">
        <v>1473</v>
      </c>
      <c r="CV362" s="1" t="s">
        <v>4499</v>
      </c>
      <c r="CW362" s="1" t="s">
        <v>251</v>
      </c>
      <c r="CX362" s="1" t="s">
        <v>157</v>
      </c>
      <c r="CY362" s="1" t="s">
        <v>157</v>
      </c>
    </row>
    <row r="363" spans="1:105" s="3" customFormat="1" ht="11.25" customHeight="1" x14ac:dyDescent="0.2">
      <c r="A363" s="3">
        <v>41</v>
      </c>
      <c r="B363" s="3" t="s">
        <v>4501</v>
      </c>
      <c r="C363" s="3" t="s">
        <v>4500</v>
      </c>
      <c r="D363" s="3">
        <v>8611</v>
      </c>
      <c r="E363" s="2" t="s">
        <v>4201</v>
      </c>
      <c r="F363" s="1" t="s">
        <v>113</v>
      </c>
      <c r="G363" s="1" t="s">
        <v>190</v>
      </c>
      <c r="H363" s="1" t="s">
        <v>829</v>
      </c>
      <c r="I363" s="1" t="s">
        <v>229</v>
      </c>
      <c r="J363" s="1" t="s">
        <v>229</v>
      </c>
      <c r="L363" s="1" t="s">
        <v>111</v>
      </c>
      <c r="M363" s="1" t="s">
        <v>111</v>
      </c>
      <c r="N363" s="1" t="s">
        <v>112</v>
      </c>
      <c r="O363" s="1" t="s">
        <v>106</v>
      </c>
      <c r="P363" s="1" t="s">
        <v>113</v>
      </c>
      <c r="Q363" s="1" t="s">
        <v>152</v>
      </c>
      <c r="R363" s="1" t="s">
        <v>157</v>
      </c>
      <c r="S363" s="1" t="s">
        <v>157</v>
      </c>
      <c r="T363" s="1" t="s">
        <v>106</v>
      </c>
      <c r="U363" s="1" t="s">
        <v>4502</v>
      </c>
      <c r="W363" s="1" t="s">
        <v>115</v>
      </c>
      <c r="Z363" s="1">
        <v>100</v>
      </c>
      <c r="AA363" s="1" t="s">
        <v>116</v>
      </c>
      <c r="AB363" s="1" t="s">
        <v>128</v>
      </c>
      <c r="AC363" s="1" t="s">
        <v>118</v>
      </c>
      <c r="AD363" s="1">
        <v>50</v>
      </c>
      <c r="AE363" s="1" t="s">
        <v>116</v>
      </c>
      <c r="AF363" s="1">
        <v>1882</v>
      </c>
      <c r="AG363" s="1" t="s">
        <v>113</v>
      </c>
      <c r="AH363" s="1">
        <v>52</v>
      </c>
      <c r="AI363" s="1">
        <v>28</v>
      </c>
      <c r="AJ363" s="1">
        <v>20</v>
      </c>
      <c r="AK363" s="1" t="s">
        <v>232</v>
      </c>
      <c r="AL363" s="1" t="s">
        <v>4503</v>
      </c>
      <c r="AM363" s="1" t="s">
        <v>4504</v>
      </c>
      <c r="AP363" s="1" t="s">
        <v>106</v>
      </c>
      <c r="AQ363" s="4">
        <v>207890</v>
      </c>
      <c r="AR363" s="1" t="s">
        <v>4505</v>
      </c>
      <c r="AS363" s="1" t="s">
        <v>4506</v>
      </c>
      <c r="AT363" s="1" t="s">
        <v>204</v>
      </c>
      <c r="AU363" s="1" t="s">
        <v>106</v>
      </c>
      <c r="AV363" s="1" t="s">
        <v>113</v>
      </c>
      <c r="AW363" s="1" t="s">
        <v>234</v>
      </c>
      <c r="AY363" s="1" t="s">
        <v>4507</v>
      </c>
      <c r="AZ363" s="1" t="s">
        <v>113</v>
      </c>
      <c r="BA363" s="1" t="s">
        <v>113</v>
      </c>
      <c r="BB363" s="1" t="s">
        <v>125</v>
      </c>
      <c r="BC363" s="1" t="s">
        <v>166</v>
      </c>
      <c r="BD363" s="1">
        <v>0</v>
      </c>
      <c r="BE363" s="1">
        <v>100</v>
      </c>
      <c r="BF363" s="1" t="s">
        <v>167</v>
      </c>
      <c r="BG363" s="1" t="s">
        <v>132</v>
      </c>
      <c r="BH363" s="1" t="s">
        <v>269</v>
      </c>
      <c r="BI363" s="1" t="s">
        <v>269</v>
      </c>
      <c r="BJ363" s="1" t="s">
        <v>208</v>
      </c>
      <c r="BK363" s="1">
        <v>50</v>
      </c>
      <c r="BL363" s="1" t="s">
        <v>167</v>
      </c>
      <c r="BM363" s="1" t="s">
        <v>271</v>
      </c>
      <c r="BN363" s="1" t="s">
        <v>4508</v>
      </c>
      <c r="BP363" s="1" t="s">
        <v>947</v>
      </c>
      <c r="BQ363" s="1" t="s">
        <v>3879</v>
      </c>
      <c r="BR363" s="1" t="s">
        <v>4509</v>
      </c>
      <c r="BS363" s="1" t="s">
        <v>4510</v>
      </c>
      <c r="BT363" s="1" t="s">
        <v>172</v>
      </c>
      <c r="BU363" s="1" t="s">
        <v>4511</v>
      </c>
      <c r="BV363" s="1" t="s">
        <v>4512</v>
      </c>
      <c r="BW363" s="1" t="s">
        <v>134</v>
      </c>
      <c r="BX363" s="1" t="s">
        <v>4513</v>
      </c>
      <c r="BY363" s="1" t="s">
        <v>135</v>
      </c>
      <c r="BZ363" s="1" t="s">
        <v>4514</v>
      </c>
      <c r="CA363" s="1">
        <v>1882</v>
      </c>
      <c r="CB363" s="1" t="s">
        <v>176</v>
      </c>
      <c r="CC363" s="1" t="s">
        <v>217</v>
      </c>
      <c r="CF363" s="6">
        <v>130566.11</v>
      </c>
      <c r="CG363" s="6">
        <v>829120.06</v>
      </c>
      <c r="CH363" s="1">
        <v>130</v>
      </c>
      <c r="CI363" s="1">
        <v>5.31</v>
      </c>
      <c r="CJ363" s="1">
        <v>222.4</v>
      </c>
      <c r="CK363" s="1">
        <v>128.34</v>
      </c>
      <c r="CL363" s="1">
        <v>298</v>
      </c>
      <c r="CM363" s="1">
        <v>222</v>
      </c>
      <c r="CN363" s="1">
        <v>150</v>
      </c>
      <c r="CO363" s="1">
        <v>238</v>
      </c>
      <c r="CP363" s="1">
        <v>0</v>
      </c>
      <c r="CQ363" s="1">
        <v>0</v>
      </c>
      <c r="CR363" s="1" t="s">
        <v>139</v>
      </c>
      <c r="CS363" s="1" t="s">
        <v>140</v>
      </c>
      <c r="CT363" s="1" t="s">
        <v>573</v>
      </c>
      <c r="CU363" s="1" t="s">
        <v>460</v>
      </c>
      <c r="CV363" s="1" t="s">
        <v>4515</v>
      </c>
      <c r="CW363" s="1" t="s">
        <v>420</v>
      </c>
      <c r="CX363" s="1" t="s">
        <v>4516</v>
      </c>
      <c r="CY363" s="1" t="s">
        <v>4517</v>
      </c>
      <c r="CZ363" s="1" t="s">
        <v>144</v>
      </c>
      <c r="DA363" s="1" t="s">
        <v>145</v>
      </c>
    </row>
    <row r="364" spans="1:105" s="3" customFormat="1" ht="11.25" customHeight="1" x14ac:dyDescent="0.2">
      <c r="A364" s="3">
        <v>41</v>
      </c>
      <c r="B364" s="3" t="s">
        <v>4519</v>
      </c>
      <c r="C364" s="3" t="s">
        <v>4518</v>
      </c>
      <c r="D364" s="3">
        <v>8100</v>
      </c>
      <c r="E364" s="2" t="s">
        <v>4201</v>
      </c>
      <c r="F364" s="1" t="s">
        <v>113</v>
      </c>
      <c r="G364" s="1" t="s">
        <v>190</v>
      </c>
      <c r="H364" s="1" t="s">
        <v>589</v>
      </c>
      <c r="I364" s="1" t="s">
        <v>193</v>
      </c>
      <c r="J364" s="1" t="s">
        <v>229</v>
      </c>
      <c r="L364" s="1" t="s">
        <v>149</v>
      </c>
      <c r="M364" s="1" t="s">
        <v>4520</v>
      </c>
      <c r="N364" s="1" t="s">
        <v>4521</v>
      </c>
      <c r="O364" s="1" t="s">
        <v>113</v>
      </c>
      <c r="P364" s="1" t="s">
        <v>113</v>
      </c>
      <c r="Q364" s="1" t="s">
        <v>258</v>
      </c>
      <c r="R364" s="1" t="s">
        <v>4522</v>
      </c>
      <c r="S364" s="1" t="s">
        <v>1396</v>
      </c>
      <c r="T364" s="1" t="s">
        <v>106</v>
      </c>
      <c r="U364" s="1" t="s">
        <v>4520</v>
      </c>
      <c r="V364" s="1" t="s">
        <v>1910</v>
      </c>
      <c r="W364" s="1" t="s">
        <v>115</v>
      </c>
      <c r="X364" s="1" t="s">
        <v>113</v>
      </c>
      <c r="Z364" s="1">
        <v>100</v>
      </c>
      <c r="AA364" s="1" t="s">
        <v>132</v>
      </c>
      <c r="AB364" s="1" t="s">
        <v>128</v>
      </c>
      <c r="AC364" s="1" t="s">
        <v>118</v>
      </c>
      <c r="AD364" s="1">
        <v>10</v>
      </c>
      <c r="AE364" s="1" t="s">
        <v>116</v>
      </c>
      <c r="AF364" s="1">
        <v>1450</v>
      </c>
      <c r="AG364" s="1" t="s">
        <v>113</v>
      </c>
      <c r="AH364" s="1">
        <v>0</v>
      </c>
      <c r="AI364" s="1">
        <v>0</v>
      </c>
      <c r="AJ364" s="1">
        <v>0</v>
      </c>
      <c r="AK364" s="1" t="s">
        <v>263</v>
      </c>
      <c r="AL364" s="1">
        <v>50</v>
      </c>
      <c r="AM364" s="1" t="s">
        <v>120</v>
      </c>
      <c r="AN364" s="1">
        <v>0</v>
      </c>
      <c r="AO364" s="1" t="s">
        <v>113</v>
      </c>
      <c r="AP364" s="1" t="s">
        <v>113</v>
      </c>
      <c r="AQ364" s="1" t="s">
        <v>127</v>
      </c>
      <c r="AR364" s="1" t="s">
        <v>127</v>
      </c>
      <c r="AS364" s="1" t="s">
        <v>127</v>
      </c>
      <c r="AT364" s="1" t="s">
        <v>204</v>
      </c>
      <c r="AU364" s="1" t="s">
        <v>113</v>
      </c>
      <c r="AV364" s="1" t="s">
        <v>106</v>
      </c>
      <c r="AW364" s="1" t="s">
        <v>164</v>
      </c>
      <c r="AX364" s="1" t="s">
        <v>206</v>
      </c>
      <c r="AY364" s="1">
        <v>0</v>
      </c>
      <c r="AZ364" s="1" t="s">
        <v>113</v>
      </c>
      <c r="BA364" s="1" t="s">
        <v>113</v>
      </c>
      <c r="BB364" s="1" t="s">
        <v>125</v>
      </c>
      <c r="BC364" s="1" t="s">
        <v>166</v>
      </c>
      <c r="BD364" s="1">
        <v>0</v>
      </c>
      <c r="BE364" s="1">
        <v>100</v>
      </c>
      <c r="BF364" s="1" t="s">
        <v>167</v>
      </c>
      <c r="BG364" s="1" t="s">
        <v>268</v>
      </c>
      <c r="BH364" s="1" t="s">
        <v>269</v>
      </c>
      <c r="BI364" s="1" t="s">
        <v>269</v>
      </c>
      <c r="BJ364" s="1" t="s">
        <v>208</v>
      </c>
      <c r="BK364" s="1">
        <v>70</v>
      </c>
      <c r="BL364" s="1" t="s">
        <v>167</v>
      </c>
      <c r="BM364" s="1" t="s">
        <v>271</v>
      </c>
      <c r="BN364" s="1" t="s">
        <v>143</v>
      </c>
      <c r="BO364" s="1" t="s">
        <v>143</v>
      </c>
      <c r="BP364" s="1" t="s">
        <v>115</v>
      </c>
      <c r="BQ364" s="1" t="s">
        <v>4523</v>
      </c>
      <c r="BR364" s="1" t="s">
        <v>4524</v>
      </c>
      <c r="BS364" s="1" t="s">
        <v>4525</v>
      </c>
      <c r="BT364" s="1" t="s">
        <v>172</v>
      </c>
      <c r="BU364" s="1" t="s">
        <v>132</v>
      </c>
      <c r="BV364" s="1" t="s">
        <v>494</v>
      </c>
      <c r="BW364" s="1" t="s">
        <v>134</v>
      </c>
      <c r="BX364" s="1" t="s">
        <v>4526</v>
      </c>
      <c r="BY364" s="1" t="s">
        <v>135</v>
      </c>
      <c r="BZ364" s="1" t="s">
        <v>4527</v>
      </c>
      <c r="CA364" s="1">
        <v>1400</v>
      </c>
      <c r="CB364" s="1" t="s">
        <v>176</v>
      </c>
      <c r="CC364" s="1" t="s">
        <v>4528</v>
      </c>
      <c r="CD364" s="1" t="s">
        <v>4529</v>
      </c>
      <c r="CE364" s="1" t="s">
        <v>179</v>
      </c>
      <c r="CF364" s="6">
        <v>504305.48</v>
      </c>
      <c r="CG364" s="1">
        <v>734229.92</v>
      </c>
      <c r="CH364" s="1">
        <v>228.11</v>
      </c>
      <c r="CI364" s="1">
        <v>0</v>
      </c>
      <c r="CJ364" s="1">
        <v>171.58</v>
      </c>
      <c r="CK364" s="1">
        <v>289</v>
      </c>
      <c r="CL364" s="1">
        <v>289</v>
      </c>
      <c r="CM364" s="1">
        <v>289</v>
      </c>
      <c r="CN364" s="1">
        <v>0</v>
      </c>
      <c r="CO364" s="1">
        <v>0</v>
      </c>
      <c r="CP364" s="1">
        <v>0</v>
      </c>
      <c r="CQ364" s="1">
        <v>0</v>
      </c>
      <c r="CR364" s="1" t="s">
        <v>418</v>
      </c>
      <c r="CS364" s="1" t="s">
        <v>140</v>
      </c>
      <c r="CT364" s="1" t="s">
        <v>479</v>
      </c>
      <c r="CU364" s="1" t="s">
        <v>617</v>
      </c>
      <c r="CV364" s="1" t="s">
        <v>4530</v>
      </c>
      <c r="CW364" s="1" t="s">
        <v>184</v>
      </c>
      <c r="CX364" s="1" t="s">
        <v>4531</v>
      </c>
      <c r="CY364" s="1" t="s">
        <v>4532</v>
      </c>
      <c r="CZ364" s="1" t="s">
        <v>144</v>
      </c>
      <c r="DA364" s="1" t="s">
        <v>145</v>
      </c>
    </row>
    <row r="365" spans="1:105" s="3" customFormat="1" ht="11.25" customHeight="1" x14ac:dyDescent="0.2">
      <c r="A365" s="3">
        <v>41</v>
      </c>
      <c r="B365" s="3" t="s">
        <v>4534</v>
      </c>
      <c r="C365" s="3" t="s">
        <v>4533</v>
      </c>
      <c r="D365" s="3">
        <v>5290</v>
      </c>
      <c r="E365" s="2" t="s">
        <v>4201</v>
      </c>
      <c r="F365" s="1" t="s">
        <v>113</v>
      </c>
      <c r="G365" s="1" t="s">
        <v>190</v>
      </c>
      <c r="H365" s="1" t="s">
        <v>682</v>
      </c>
      <c r="I365" s="1" t="s">
        <v>229</v>
      </c>
      <c r="J365" s="1" t="s">
        <v>113</v>
      </c>
      <c r="K365" s="1" t="s">
        <v>682</v>
      </c>
      <c r="L365" s="1" t="s">
        <v>111</v>
      </c>
      <c r="M365" s="1" t="s">
        <v>682</v>
      </c>
      <c r="N365" s="1" t="s">
        <v>112</v>
      </c>
      <c r="O365" s="1" t="s">
        <v>113</v>
      </c>
      <c r="P365" s="1" t="s">
        <v>113</v>
      </c>
      <c r="Q365" s="1" t="s">
        <v>195</v>
      </c>
      <c r="R365" s="1" t="s">
        <v>4535</v>
      </c>
      <c r="S365" s="1" t="s">
        <v>682</v>
      </c>
      <c r="T365" s="1" t="s">
        <v>106</v>
      </c>
      <c r="U365" s="1" t="s">
        <v>4536</v>
      </c>
      <c r="V365" s="1" t="s">
        <v>667</v>
      </c>
      <c r="W365" s="1" t="s">
        <v>115</v>
      </c>
      <c r="X365" s="1" t="s">
        <v>113</v>
      </c>
      <c r="Y365" s="1" t="s">
        <v>682</v>
      </c>
      <c r="Z365" s="1">
        <v>40</v>
      </c>
      <c r="AA365" s="1" t="s">
        <v>116</v>
      </c>
      <c r="AB365" s="1" t="s">
        <v>128</v>
      </c>
      <c r="AC365" s="1" t="s">
        <v>118</v>
      </c>
      <c r="AD365" s="1">
        <v>40</v>
      </c>
      <c r="AE365" s="1" t="s">
        <v>116</v>
      </c>
      <c r="AF365" s="1">
        <v>89857</v>
      </c>
      <c r="AG365" s="1" t="s">
        <v>113</v>
      </c>
      <c r="AH365" s="1">
        <v>70</v>
      </c>
      <c r="AI365" s="1">
        <v>27</v>
      </c>
      <c r="AJ365" s="5" t="s">
        <v>4537</v>
      </c>
      <c r="AK365" s="1" t="s">
        <v>449</v>
      </c>
      <c r="AL365" s="1">
        <v>320</v>
      </c>
      <c r="AM365" s="1" t="s">
        <v>120</v>
      </c>
      <c r="AN365" s="1">
        <v>200</v>
      </c>
      <c r="AO365" s="1" t="s">
        <v>113</v>
      </c>
      <c r="AP365" s="1" t="s">
        <v>106</v>
      </c>
      <c r="AQ365" s="1" t="s">
        <v>4538</v>
      </c>
      <c r="AR365" s="1" t="s">
        <v>4539</v>
      </c>
      <c r="AS365" s="1" t="s">
        <v>4540</v>
      </c>
      <c r="AT365" s="1" t="s">
        <v>123</v>
      </c>
      <c r="AU365" s="1" t="s">
        <v>106</v>
      </c>
      <c r="AV365" s="1" t="s">
        <v>113</v>
      </c>
      <c r="AW365" s="1" t="s">
        <v>164</v>
      </c>
      <c r="AX365" s="1" t="s">
        <v>165</v>
      </c>
      <c r="AY365" s="1">
        <v>0</v>
      </c>
      <c r="AZ365" s="1" t="s">
        <v>113</v>
      </c>
      <c r="BA365" s="1" t="s">
        <v>113</v>
      </c>
      <c r="BB365" s="1" t="s">
        <v>125</v>
      </c>
      <c r="BC365" s="1" t="s">
        <v>166</v>
      </c>
      <c r="BD365" s="1">
        <v>0</v>
      </c>
      <c r="BE365" s="1">
        <v>100</v>
      </c>
      <c r="BF365" s="1" t="s">
        <v>167</v>
      </c>
      <c r="BG365" s="1" t="s">
        <v>132</v>
      </c>
      <c r="BH365" s="1" t="s">
        <v>269</v>
      </c>
      <c r="BI365" s="1" t="s">
        <v>168</v>
      </c>
      <c r="BJ365" s="1" t="s">
        <v>208</v>
      </c>
      <c r="BK365" s="1">
        <v>40</v>
      </c>
      <c r="BL365" s="1" t="s">
        <v>167</v>
      </c>
      <c r="BM365" s="1" t="s">
        <v>472</v>
      </c>
      <c r="BN365" s="1" t="s">
        <v>276</v>
      </c>
      <c r="BO365" s="1" t="s">
        <v>276</v>
      </c>
      <c r="BP365" s="1" t="s">
        <v>124</v>
      </c>
      <c r="BQ365" s="1" t="s">
        <v>1274</v>
      </c>
      <c r="BR365" s="1" t="s">
        <v>4541</v>
      </c>
      <c r="BS365" s="1" t="s">
        <v>4542</v>
      </c>
      <c r="BT365" s="1" t="s">
        <v>172</v>
      </c>
      <c r="BU365" s="1" t="s">
        <v>132</v>
      </c>
      <c r="BV365" s="1" t="s">
        <v>4543</v>
      </c>
      <c r="BW365" s="1" t="s">
        <v>134</v>
      </c>
      <c r="BX365" s="1" t="s">
        <v>4544</v>
      </c>
      <c r="BY365" s="1" t="s">
        <v>135</v>
      </c>
      <c r="BZ365" s="1">
        <v>0</v>
      </c>
      <c r="CA365" s="1">
        <v>899</v>
      </c>
      <c r="CB365" s="1" t="s">
        <v>176</v>
      </c>
      <c r="CC365" s="1" t="s">
        <v>301</v>
      </c>
      <c r="CD365" s="1">
        <v>0</v>
      </c>
      <c r="CE365" s="1" t="s">
        <v>179</v>
      </c>
      <c r="CF365" s="1">
        <v>35896612</v>
      </c>
      <c r="CG365" s="1">
        <v>33061424</v>
      </c>
      <c r="CH365" s="1">
        <v>12600000</v>
      </c>
      <c r="CI365" s="1">
        <v>3000000</v>
      </c>
      <c r="CJ365" s="1">
        <v>17661424</v>
      </c>
      <c r="CK365" s="1">
        <v>2400000</v>
      </c>
      <c r="CL365" s="1">
        <v>0</v>
      </c>
      <c r="CM365" s="1">
        <v>0</v>
      </c>
      <c r="CN365" s="1">
        <v>50600000</v>
      </c>
      <c r="CO365" s="1">
        <v>0</v>
      </c>
      <c r="CP365" s="1">
        <v>0</v>
      </c>
      <c r="CQ365" s="1">
        <v>0</v>
      </c>
      <c r="CR365" s="1" t="s">
        <v>180</v>
      </c>
      <c r="CS365" s="1" t="s">
        <v>140</v>
      </c>
      <c r="CT365" s="1" t="s">
        <v>282</v>
      </c>
      <c r="CW365" s="1" t="s">
        <v>251</v>
      </c>
      <c r="CX365" s="1" t="s">
        <v>157</v>
      </c>
      <c r="CY365" s="1" t="s">
        <v>157</v>
      </c>
      <c r="CZ365" s="1" t="s">
        <v>144</v>
      </c>
      <c r="DA365" s="1" t="s">
        <v>145</v>
      </c>
    </row>
    <row r="366" spans="1:105" s="3" customFormat="1" ht="11.25" customHeight="1" x14ac:dyDescent="0.2">
      <c r="A366" s="3">
        <v>41</v>
      </c>
      <c r="B366" s="3" t="s">
        <v>4546</v>
      </c>
      <c r="C366" s="3" t="s">
        <v>4545</v>
      </c>
      <c r="D366" s="3">
        <v>6784</v>
      </c>
      <c r="E366" s="2" t="s">
        <v>4201</v>
      </c>
      <c r="F366" s="1" t="s">
        <v>106</v>
      </c>
      <c r="G366" s="1" t="s">
        <v>1664</v>
      </c>
      <c r="H366" s="1" t="s">
        <v>4547</v>
      </c>
      <c r="I366" s="1" t="s">
        <v>3008</v>
      </c>
      <c r="J366" s="1" t="s">
        <v>106</v>
      </c>
      <c r="K366" s="1" t="s">
        <v>4548</v>
      </c>
      <c r="L366" s="1" t="s">
        <v>111</v>
      </c>
      <c r="M366" s="1" t="s">
        <v>705</v>
      </c>
      <c r="N366" s="1" t="s">
        <v>112</v>
      </c>
      <c r="O366" s="1" t="s">
        <v>113</v>
      </c>
      <c r="P366" s="1" t="s">
        <v>113</v>
      </c>
      <c r="Q366" s="1" t="s">
        <v>195</v>
      </c>
      <c r="R366" s="1" t="s">
        <v>4549</v>
      </c>
      <c r="S366" s="1" t="s">
        <v>4549</v>
      </c>
      <c r="T366" s="1" t="s">
        <v>106</v>
      </c>
      <c r="U366" s="1" t="s">
        <v>4549</v>
      </c>
      <c r="V366" s="1" t="s">
        <v>4550</v>
      </c>
      <c r="W366" s="1" t="s">
        <v>755</v>
      </c>
      <c r="X366" s="1" t="s">
        <v>106</v>
      </c>
      <c r="Y366" s="1" t="s">
        <v>4551</v>
      </c>
      <c r="Z366" s="1">
        <v>80</v>
      </c>
      <c r="AA366" s="1" t="s">
        <v>159</v>
      </c>
      <c r="AB366" s="1" t="s">
        <v>117</v>
      </c>
      <c r="AC366" s="1" t="s">
        <v>118</v>
      </c>
      <c r="AD366" s="1">
        <v>60</v>
      </c>
      <c r="AE366" s="1" t="s">
        <v>159</v>
      </c>
      <c r="AF366" s="1">
        <v>25</v>
      </c>
      <c r="AG366" s="1" t="s">
        <v>106</v>
      </c>
      <c r="AH366" s="1">
        <v>80</v>
      </c>
      <c r="AI366" s="1">
        <v>70</v>
      </c>
      <c r="AJ366" s="1">
        <v>30</v>
      </c>
      <c r="AK366" s="1" t="s">
        <v>1964</v>
      </c>
      <c r="AL366" s="1">
        <v>1500</v>
      </c>
      <c r="AM366" s="1" t="s">
        <v>131</v>
      </c>
      <c r="AN366" s="1">
        <v>20</v>
      </c>
      <c r="AO366" s="1" t="s">
        <v>113</v>
      </c>
      <c r="AP366" s="1" t="s">
        <v>113</v>
      </c>
      <c r="AQ366" s="5" t="s">
        <v>126</v>
      </c>
      <c r="AR366" s="1" t="s">
        <v>709</v>
      </c>
      <c r="AS366" s="1" t="s">
        <v>4552</v>
      </c>
      <c r="AT366" s="1" t="s">
        <v>123</v>
      </c>
      <c r="AU366" s="1" t="s">
        <v>106</v>
      </c>
      <c r="AV366" s="1" t="s">
        <v>106</v>
      </c>
      <c r="AW366" s="1" t="s">
        <v>164</v>
      </c>
      <c r="AX366" s="1" t="s">
        <v>1594</v>
      </c>
      <c r="AY366" s="1">
        <v>2000</v>
      </c>
      <c r="AZ366" s="1" t="s">
        <v>106</v>
      </c>
      <c r="BA366" s="1" t="s">
        <v>106</v>
      </c>
      <c r="BB366" s="1" t="s">
        <v>125</v>
      </c>
      <c r="BC366" s="1" t="s">
        <v>166</v>
      </c>
      <c r="BD366" s="1">
        <v>1500</v>
      </c>
      <c r="BE366" s="1">
        <v>80</v>
      </c>
      <c r="BF366" s="1" t="s">
        <v>630</v>
      </c>
      <c r="BG366" s="1" t="s">
        <v>383</v>
      </c>
      <c r="BH366" s="1" t="s">
        <v>569</v>
      </c>
      <c r="BI366" s="1" t="s">
        <v>450</v>
      </c>
      <c r="BJ366" s="1" t="s">
        <v>208</v>
      </c>
      <c r="BK366" s="1">
        <v>60</v>
      </c>
      <c r="BL366" s="1" t="s">
        <v>270</v>
      </c>
      <c r="BM366" s="1" t="s">
        <v>386</v>
      </c>
      <c r="BN366" s="1">
        <v>8</v>
      </c>
      <c r="BO366" s="1">
        <v>1</v>
      </c>
      <c r="BP366" s="1" t="s">
        <v>115</v>
      </c>
      <c r="BQ366" s="1" t="s">
        <v>4553</v>
      </c>
      <c r="BR366" s="1" t="s">
        <v>4554</v>
      </c>
      <c r="BS366" s="1" t="s">
        <v>4553</v>
      </c>
      <c r="BT366" s="1" t="s">
        <v>131</v>
      </c>
      <c r="BU366" s="1" t="s">
        <v>4555</v>
      </c>
      <c r="BV366" s="1" t="s">
        <v>713</v>
      </c>
      <c r="BW366" s="1" t="s">
        <v>134</v>
      </c>
      <c r="BX366" s="1" t="s">
        <v>325</v>
      </c>
      <c r="BY366" s="1" t="s">
        <v>1525</v>
      </c>
      <c r="BZ366" s="1" t="s">
        <v>709</v>
      </c>
      <c r="CA366" s="1">
        <v>25</v>
      </c>
      <c r="CB366" s="1" t="s">
        <v>176</v>
      </c>
      <c r="CC366" s="1" t="s">
        <v>301</v>
      </c>
      <c r="CD366" s="1" t="s">
        <v>4556</v>
      </c>
      <c r="CE366" s="1" t="s">
        <v>179</v>
      </c>
      <c r="CF366" s="5" t="s">
        <v>126</v>
      </c>
      <c r="CG366" s="5" t="s">
        <v>1365</v>
      </c>
      <c r="CH366" s="5" t="s">
        <v>126</v>
      </c>
      <c r="CI366" s="5" t="s">
        <v>126</v>
      </c>
      <c r="CJ366" s="5" t="s">
        <v>126</v>
      </c>
      <c r="CK366" s="1">
        <v>600</v>
      </c>
      <c r="CL366" s="1">
        <v>120</v>
      </c>
      <c r="CM366" s="5" t="s">
        <v>220</v>
      </c>
      <c r="CN366" s="5" t="s">
        <v>126</v>
      </c>
      <c r="CO366" s="5" t="s">
        <v>126</v>
      </c>
      <c r="CP366" s="5" t="s">
        <v>126</v>
      </c>
      <c r="CQ366" s="5" t="s">
        <v>126</v>
      </c>
      <c r="CR366" s="1" t="s">
        <v>418</v>
      </c>
      <c r="CS366" s="1" t="s">
        <v>4340</v>
      </c>
      <c r="CT366" s="1" t="s">
        <v>573</v>
      </c>
      <c r="CV366" s="1" t="s">
        <v>3559</v>
      </c>
      <c r="CW366" s="1" t="s">
        <v>251</v>
      </c>
      <c r="CX366" s="1" t="s">
        <v>709</v>
      </c>
      <c r="CY366" s="1" t="s">
        <v>709</v>
      </c>
      <c r="CZ366" s="1" t="s">
        <v>144</v>
      </c>
      <c r="DA366" s="1" t="s">
        <v>145</v>
      </c>
    </row>
    <row r="367" spans="1:105" s="3" customFormat="1" ht="11.25" customHeight="1" x14ac:dyDescent="0.2">
      <c r="A367" s="3">
        <v>41</v>
      </c>
      <c r="B367" s="3" t="s">
        <v>4557</v>
      </c>
      <c r="C367" s="3" t="s">
        <v>4558</v>
      </c>
      <c r="D367" s="3">
        <v>56397</v>
      </c>
      <c r="E367" s="2" t="s">
        <v>1688</v>
      </c>
      <c r="F367" s="1"/>
      <c r="G367" s="1"/>
      <c r="H367" s="1"/>
      <c r="I367" s="1"/>
      <c r="J367" s="1"/>
      <c r="L367" s="1"/>
      <c r="M367" s="1"/>
      <c r="N367" s="1"/>
      <c r="O367" s="1"/>
      <c r="P367" s="1"/>
      <c r="Q367" s="1"/>
      <c r="R367" s="1"/>
      <c r="S367" s="1"/>
      <c r="T367" s="1"/>
      <c r="U367" s="1"/>
      <c r="V367" s="1"/>
      <c r="W367" s="1"/>
      <c r="X367" s="1"/>
      <c r="Y367" s="1"/>
      <c r="Z367" s="1"/>
      <c r="AA367" s="1"/>
      <c r="AB367" s="1"/>
      <c r="AC367" s="1"/>
      <c r="AD367" s="1"/>
      <c r="AE367" s="1"/>
      <c r="AF367" s="4"/>
      <c r="AG367" s="1"/>
      <c r="AH367" s="1"/>
      <c r="AI367" s="1"/>
      <c r="AJ367" s="1"/>
      <c r="AK367" s="1"/>
      <c r="AM367" s="1"/>
      <c r="AO367" s="1"/>
      <c r="AP367" s="1"/>
      <c r="AQ367" s="1"/>
      <c r="AR367" s="1"/>
      <c r="AS367" s="1"/>
      <c r="AT367" s="1"/>
      <c r="AU367" s="1"/>
      <c r="AV367" s="1"/>
      <c r="AW367" s="1"/>
      <c r="AX367" s="1"/>
      <c r="AY367" s="1"/>
      <c r="AZ367" s="1"/>
      <c r="BA367" s="1"/>
      <c r="BB367" s="1"/>
      <c r="BC367" s="1"/>
      <c r="BD367" s="1"/>
      <c r="BE367" s="1"/>
      <c r="BF367" s="1"/>
      <c r="BG367" s="1"/>
      <c r="BJ367" s="1"/>
      <c r="BK367" s="1"/>
      <c r="BL367" s="1"/>
      <c r="BM367" s="1"/>
      <c r="BN367" s="1"/>
      <c r="BO367" s="1"/>
      <c r="BP367" s="1"/>
      <c r="BQ367" s="1"/>
      <c r="BR367" s="1"/>
      <c r="BS367" s="1"/>
      <c r="BT367" s="1"/>
      <c r="BU367" s="1"/>
      <c r="BV367" s="1"/>
      <c r="BW367" s="1"/>
      <c r="BX367" s="1"/>
      <c r="BY367" s="1"/>
      <c r="BZ367" s="1"/>
      <c r="CA367" s="4"/>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row>
    <row r="368" spans="1:105" s="3" customFormat="1" ht="11.25" customHeight="1" x14ac:dyDescent="0.2">
      <c r="A368" s="1">
        <v>41</v>
      </c>
      <c r="B368" s="1" t="s">
        <v>4559</v>
      </c>
      <c r="C368" s="1" t="s">
        <v>4560</v>
      </c>
      <c r="D368" s="1">
        <v>57120</v>
      </c>
      <c r="E368" s="2" t="s">
        <v>1688</v>
      </c>
      <c r="F368" s="1"/>
      <c r="G368" s="1"/>
      <c r="H368" s="1"/>
      <c r="I368" s="1"/>
      <c r="J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M368" s="1"/>
      <c r="AO368" s="1"/>
      <c r="AP368" s="1"/>
      <c r="AQ368" s="1"/>
      <c r="AR368" s="1"/>
      <c r="AS368" s="1"/>
      <c r="AT368" s="1"/>
      <c r="AU368" s="1"/>
      <c r="AV368" s="1"/>
      <c r="AW368" s="1"/>
      <c r="AY368" s="1"/>
      <c r="AZ368" s="1"/>
      <c r="BA368" s="1"/>
      <c r="BB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S368" s="1"/>
      <c r="CT368" s="1"/>
      <c r="CV368" s="1"/>
      <c r="CW368" s="1"/>
      <c r="CX368" s="1"/>
      <c r="CY368" s="1"/>
      <c r="CZ368" s="1"/>
      <c r="DA368" s="1"/>
    </row>
    <row r="369" spans="1:105" s="3" customFormat="1" ht="11.25" customHeight="1" x14ac:dyDescent="0.2">
      <c r="A369" s="3">
        <v>41</v>
      </c>
      <c r="B369" s="3" t="s">
        <v>4562</v>
      </c>
      <c r="C369" s="3" t="s">
        <v>4561</v>
      </c>
      <c r="D369" s="3">
        <v>5138</v>
      </c>
      <c r="E369" s="2" t="s">
        <v>4201</v>
      </c>
      <c r="F369" s="1" t="s">
        <v>113</v>
      </c>
      <c r="G369" s="1" t="s">
        <v>190</v>
      </c>
      <c r="H369" s="1" t="s">
        <v>229</v>
      </c>
      <c r="I369" s="1" t="s">
        <v>229</v>
      </c>
      <c r="J369" s="1" t="s">
        <v>229</v>
      </c>
      <c r="K369" s="1" t="s">
        <v>229</v>
      </c>
      <c r="L369" s="1" t="s">
        <v>111</v>
      </c>
      <c r="M369" s="1" t="s">
        <v>257</v>
      </c>
      <c r="N369" s="1" t="s">
        <v>112</v>
      </c>
      <c r="O369" s="1" t="s">
        <v>106</v>
      </c>
      <c r="P369" s="1" t="s">
        <v>106</v>
      </c>
      <c r="Q369" s="1" t="s">
        <v>195</v>
      </c>
      <c r="R369" s="1" t="s">
        <v>4563</v>
      </c>
      <c r="S369" s="1" t="s">
        <v>114</v>
      </c>
      <c r="T369" s="1" t="s">
        <v>106</v>
      </c>
      <c r="U369" s="1" t="s">
        <v>4564</v>
      </c>
      <c r="V369" s="1" t="s">
        <v>546</v>
      </c>
      <c r="W369" s="1" t="s">
        <v>115</v>
      </c>
      <c r="X369" s="1" t="s">
        <v>113</v>
      </c>
      <c r="Y369" s="1" t="s">
        <v>564</v>
      </c>
      <c r="Z369" s="1">
        <v>100</v>
      </c>
      <c r="AA369" s="1" t="s">
        <v>116</v>
      </c>
      <c r="AB369" s="1" t="s">
        <v>128</v>
      </c>
      <c r="AC369" s="1" t="s">
        <v>118</v>
      </c>
      <c r="AD369" s="1">
        <v>35</v>
      </c>
      <c r="AE369" s="1" t="s">
        <v>116</v>
      </c>
      <c r="AF369" s="1" t="s">
        <v>4565</v>
      </c>
      <c r="AG369" s="1" t="s">
        <v>113</v>
      </c>
      <c r="AH369" s="1">
        <v>0</v>
      </c>
      <c r="AI369" s="1">
        <v>0</v>
      </c>
      <c r="AJ369" s="1">
        <v>0</v>
      </c>
      <c r="AK369" s="1" t="s">
        <v>796</v>
      </c>
      <c r="AL369" s="1">
        <v>20</v>
      </c>
      <c r="AM369" s="1" t="s">
        <v>4566</v>
      </c>
      <c r="AN369" s="1">
        <v>20</v>
      </c>
      <c r="AO369" s="1" t="s">
        <v>113</v>
      </c>
      <c r="AP369" s="1" t="s">
        <v>106</v>
      </c>
      <c r="AQ369" s="1" t="s">
        <v>4567</v>
      </c>
      <c r="AR369" s="1" t="s">
        <v>4568</v>
      </c>
      <c r="AS369" s="1" t="s">
        <v>4569</v>
      </c>
      <c r="AT369" s="1" t="s">
        <v>4570</v>
      </c>
      <c r="AU369" s="1" t="s">
        <v>106</v>
      </c>
      <c r="AV369" s="1" t="s">
        <v>113</v>
      </c>
      <c r="AW369" s="1" t="s">
        <v>234</v>
      </c>
      <c r="AX369" s="1" t="s">
        <v>550</v>
      </c>
      <c r="AY369" s="1">
        <v>15</v>
      </c>
      <c r="AZ369" s="1" t="s">
        <v>113</v>
      </c>
      <c r="BA369" s="1" t="s">
        <v>113</v>
      </c>
      <c r="BB369" s="1" t="s">
        <v>125</v>
      </c>
      <c r="BC369" s="1" t="s">
        <v>166</v>
      </c>
      <c r="BD369" s="1">
        <v>0</v>
      </c>
      <c r="BE369" s="1">
        <v>100</v>
      </c>
      <c r="BF369" s="1" t="s">
        <v>167</v>
      </c>
      <c r="BG369" s="1" t="s">
        <v>268</v>
      </c>
      <c r="BH369" s="1" t="s">
        <v>269</v>
      </c>
      <c r="BI369" s="1" t="s">
        <v>269</v>
      </c>
      <c r="BJ369" s="1" t="s">
        <v>384</v>
      </c>
      <c r="BK369" s="1">
        <v>100</v>
      </c>
      <c r="BL369" s="1" t="s">
        <v>270</v>
      </c>
      <c r="BM369" s="1" t="s">
        <v>271</v>
      </c>
      <c r="BN369" s="1">
        <v>10</v>
      </c>
      <c r="BP369" s="1" t="s">
        <v>115</v>
      </c>
      <c r="BQ369" s="1" t="s">
        <v>3741</v>
      </c>
      <c r="BR369" s="1" t="s">
        <v>4571</v>
      </c>
      <c r="BS369" s="1" t="s">
        <v>816</v>
      </c>
      <c r="BT369" s="1" t="s">
        <v>172</v>
      </c>
      <c r="BU369" s="1" t="s">
        <v>132</v>
      </c>
      <c r="BV369" s="1" t="s">
        <v>2256</v>
      </c>
      <c r="BW369" s="1" t="s">
        <v>298</v>
      </c>
      <c r="BX369" s="1" t="s">
        <v>325</v>
      </c>
      <c r="BY369" s="1" t="s">
        <v>299</v>
      </c>
      <c r="BZ369" s="1" t="s">
        <v>157</v>
      </c>
      <c r="CA369" s="1" t="s">
        <v>4565</v>
      </c>
      <c r="CB369" s="1" t="s">
        <v>176</v>
      </c>
      <c r="CC369" s="1" t="s">
        <v>301</v>
      </c>
      <c r="CD369" s="1" t="s">
        <v>4572</v>
      </c>
      <c r="CE369" s="1" t="s">
        <v>219</v>
      </c>
      <c r="CF369" s="1" t="s">
        <v>4573</v>
      </c>
      <c r="CG369" s="1" t="s">
        <v>4574</v>
      </c>
      <c r="CH369" s="1" t="s">
        <v>4575</v>
      </c>
      <c r="CI369" s="1" t="s">
        <v>4575</v>
      </c>
      <c r="CJ369" s="1" t="s">
        <v>4575</v>
      </c>
      <c r="CK369" s="1">
        <v>450</v>
      </c>
      <c r="CL369" s="1">
        <v>450</v>
      </c>
      <c r="CM369" s="1">
        <v>0</v>
      </c>
      <c r="CN369" s="1">
        <v>0</v>
      </c>
      <c r="CO369" s="1">
        <v>0</v>
      </c>
      <c r="CP369" s="1">
        <v>0</v>
      </c>
      <c r="CQ369" s="1">
        <v>0</v>
      </c>
      <c r="CR369" s="1" t="s">
        <v>139</v>
      </c>
      <c r="CS369" s="1" t="s">
        <v>140</v>
      </c>
      <c r="CT369" s="1" t="s">
        <v>4576</v>
      </c>
      <c r="CV369" s="1" t="s">
        <v>310</v>
      </c>
      <c r="CW369" s="1" t="s">
        <v>284</v>
      </c>
      <c r="CX369" s="1" t="s">
        <v>4577</v>
      </c>
      <c r="CY369" s="1" t="s">
        <v>4578</v>
      </c>
      <c r="CZ369" s="1" t="s">
        <v>144</v>
      </c>
      <c r="DA369" s="1" t="s">
        <v>145</v>
      </c>
    </row>
    <row r="370" spans="1:105" s="3" customFormat="1" ht="11.25" customHeight="1" x14ac:dyDescent="0.2">
      <c r="A370" s="3">
        <v>41</v>
      </c>
      <c r="B370" s="3" t="s">
        <v>4580</v>
      </c>
      <c r="C370" s="3" t="s">
        <v>4579</v>
      </c>
      <c r="D370" s="3">
        <v>5667</v>
      </c>
      <c r="E370" s="2" t="s">
        <v>4201</v>
      </c>
      <c r="F370" s="1" t="s">
        <v>113</v>
      </c>
      <c r="G370" s="1" t="s">
        <v>3107</v>
      </c>
      <c r="H370" s="1" t="s">
        <v>4287</v>
      </c>
      <c r="I370" s="1" t="s">
        <v>4581</v>
      </c>
      <c r="J370" s="1" t="s">
        <v>113</v>
      </c>
      <c r="L370" s="1" t="s">
        <v>111</v>
      </c>
      <c r="M370" s="1" t="s">
        <v>111</v>
      </c>
      <c r="N370" s="1" t="s">
        <v>4582</v>
      </c>
      <c r="O370" s="1" t="s">
        <v>106</v>
      </c>
      <c r="P370" s="1" t="s">
        <v>113</v>
      </c>
      <c r="Q370" s="1" t="s">
        <v>195</v>
      </c>
      <c r="R370" s="1" t="s">
        <v>4583</v>
      </c>
      <c r="S370" s="1" t="s">
        <v>157</v>
      </c>
      <c r="T370" s="1" t="s">
        <v>113</v>
      </c>
      <c r="U370" s="1" t="s">
        <v>157</v>
      </c>
      <c r="V370" s="1" t="s">
        <v>4584</v>
      </c>
      <c r="W370" s="1" t="s">
        <v>115</v>
      </c>
      <c r="X370" s="1" t="s">
        <v>113</v>
      </c>
      <c r="Y370" s="1" t="s">
        <v>1021</v>
      </c>
      <c r="Z370" s="1">
        <v>100</v>
      </c>
      <c r="AA370" s="1" t="s">
        <v>132</v>
      </c>
      <c r="AB370" s="1" t="s">
        <v>128</v>
      </c>
      <c r="AC370" s="1" t="s">
        <v>384</v>
      </c>
      <c r="AD370" s="1">
        <v>100</v>
      </c>
      <c r="AE370" s="1" t="s">
        <v>132</v>
      </c>
      <c r="AF370" s="1">
        <v>1274</v>
      </c>
      <c r="AG370" s="1" t="s">
        <v>113</v>
      </c>
      <c r="AH370" s="1">
        <v>0</v>
      </c>
      <c r="AI370" s="1">
        <v>0</v>
      </c>
      <c r="AJ370" s="1">
        <v>0</v>
      </c>
      <c r="AK370" s="1" t="s">
        <v>318</v>
      </c>
      <c r="AM370" s="1" t="s">
        <v>4585</v>
      </c>
      <c r="AN370" s="1">
        <v>3000</v>
      </c>
      <c r="AO370" s="1" t="s">
        <v>113</v>
      </c>
      <c r="AP370" s="1" t="s">
        <v>113</v>
      </c>
      <c r="AQ370" s="1" t="s">
        <v>157</v>
      </c>
      <c r="AR370" s="1" t="s">
        <v>157</v>
      </c>
      <c r="AS370" s="1" t="s">
        <v>157</v>
      </c>
      <c r="AT370" s="1" t="s">
        <v>123</v>
      </c>
      <c r="AU370" s="1" t="s">
        <v>106</v>
      </c>
      <c r="AV370" s="1" t="s">
        <v>113</v>
      </c>
      <c r="AW370" s="1" t="s">
        <v>164</v>
      </c>
      <c r="AX370" s="1" t="s">
        <v>165</v>
      </c>
      <c r="AY370" s="1">
        <v>0</v>
      </c>
      <c r="AZ370" s="1" t="s">
        <v>113</v>
      </c>
      <c r="BA370" s="1" t="s">
        <v>113</v>
      </c>
      <c r="BB370" s="1" t="s">
        <v>125</v>
      </c>
      <c r="BC370" s="1" t="s">
        <v>166</v>
      </c>
      <c r="BD370" s="1">
        <v>0</v>
      </c>
      <c r="BE370" s="1">
        <v>100</v>
      </c>
      <c r="BF370" s="1" t="s">
        <v>630</v>
      </c>
      <c r="BG370" s="1" t="s">
        <v>268</v>
      </c>
      <c r="BH370" s="1" t="s">
        <v>169</v>
      </c>
      <c r="BI370" s="1" t="s">
        <v>169</v>
      </c>
      <c r="BJ370" s="1" t="s">
        <v>384</v>
      </c>
      <c r="BK370" s="1">
        <v>100</v>
      </c>
      <c r="BL370" s="1" t="s">
        <v>209</v>
      </c>
      <c r="BM370" s="1" t="s">
        <v>271</v>
      </c>
      <c r="BN370" s="1" t="s">
        <v>276</v>
      </c>
      <c r="BO370" s="1" t="s">
        <v>276</v>
      </c>
      <c r="BP370" s="1" t="s">
        <v>947</v>
      </c>
      <c r="BQ370" s="1" t="s">
        <v>4586</v>
      </c>
      <c r="BR370" s="1" t="s">
        <v>4587</v>
      </c>
      <c r="BS370" s="1" t="s">
        <v>4588</v>
      </c>
      <c r="BT370" s="1" t="s">
        <v>131</v>
      </c>
      <c r="BU370" s="1" t="s">
        <v>239</v>
      </c>
      <c r="BV370" s="1" t="s">
        <v>4589</v>
      </c>
      <c r="BW370" s="1" t="s">
        <v>134</v>
      </c>
      <c r="BX370" s="1" t="s">
        <v>4590</v>
      </c>
      <c r="BY370" s="1" t="s">
        <v>454</v>
      </c>
      <c r="BZ370" s="1" t="s">
        <v>4591</v>
      </c>
      <c r="CA370" s="1">
        <v>1000</v>
      </c>
      <c r="CB370" s="1" t="s">
        <v>216</v>
      </c>
      <c r="CC370" s="1" t="s">
        <v>217</v>
      </c>
      <c r="CD370" s="1" t="s">
        <v>4592</v>
      </c>
      <c r="CE370" s="1" t="s">
        <v>219</v>
      </c>
      <c r="CF370" s="6">
        <v>454571.12</v>
      </c>
      <c r="CG370" s="1">
        <v>763600</v>
      </c>
      <c r="CH370" s="1">
        <v>152</v>
      </c>
      <c r="CI370" s="1">
        <v>480</v>
      </c>
      <c r="CJ370" s="1">
        <v>152</v>
      </c>
      <c r="CK370" s="1">
        <v>350</v>
      </c>
      <c r="CL370" s="1">
        <v>350</v>
      </c>
      <c r="CM370" s="1">
        <v>350</v>
      </c>
      <c r="CN370" s="1">
        <v>0</v>
      </c>
      <c r="CO370" s="1">
        <v>0</v>
      </c>
      <c r="CP370" s="1">
        <v>0</v>
      </c>
      <c r="CQ370" s="1">
        <v>0</v>
      </c>
      <c r="CR370" s="1" t="s">
        <v>622</v>
      </c>
      <c r="CS370" s="1" t="s">
        <v>140</v>
      </c>
      <c r="CT370" s="1" t="s">
        <v>4593</v>
      </c>
      <c r="CV370" s="1" t="s">
        <v>500</v>
      </c>
      <c r="CW370" s="1" t="s">
        <v>184</v>
      </c>
      <c r="CX370" s="1" t="s">
        <v>4594</v>
      </c>
      <c r="CY370" s="1" t="s">
        <v>4595</v>
      </c>
      <c r="CZ370" s="1" t="s">
        <v>144</v>
      </c>
      <c r="DA370" s="1" t="s">
        <v>145</v>
      </c>
    </row>
    <row r="371" spans="1:105" s="3" customFormat="1" ht="11.25" customHeight="1" x14ac:dyDescent="0.2">
      <c r="A371" s="3">
        <v>41</v>
      </c>
      <c r="B371" s="3" t="s">
        <v>4597</v>
      </c>
      <c r="C371" s="3" t="s">
        <v>4596</v>
      </c>
      <c r="D371" s="3">
        <v>16183</v>
      </c>
      <c r="E371" s="2" t="s">
        <v>4201</v>
      </c>
      <c r="F371" s="1" t="s">
        <v>113</v>
      </c>
      <c r="G371" s="1"/>
      <c r="H371" s="1">
        <v>0</v>
      </c>
      <c r="I371" s="1" t="s">
        <v>229</v>
      </c>
      <c r="J371" s="1" t="s">
        <v>229</v>
      </c>
      <c r="K371" s="1"/>
      <c r="L371" s="1" t="s">
        <v>111</v>
      </c>
      <c r="M371" s="1">
        <v>0</v>
      </c>
      <c r="N371" s="1" t="s">
        <v>112</v>
      </c>
      <c r="O371" s="1" t="s">
        <v>113</v>
      </c>
      <c r="P371" s="1" t="s">
        <v>113</v>
      </c>
      <c r="Q371" s="1" t="s">
        <v>195</v>
      </c>
      <c r="R371" s="1" t="s">
        <v>4598</v>
      </c>
      <c r="S371" s="1" t="s">
        <v>4598</v>
      </c>
      <c r="T371" s="1" t="s">
        <v>106</v>
      </c>
      <c r="U371" s="1" t="s">
        <v>4599</v>
      </c>
      <c r="V371" s="1" t="s">
        <v>914</v>
      </c>
      <c r="W371" s="1" t="s">
        <v>755</v>
      </c>
      <c r="X371" s="1" t="s">
        <v>113</v>
      </c>
      <c r="Y371" s="1">
        <v>0</v>
      </c>
      <c r="Z371" s="1">
        <v>100</v>
      </c>
      <c r="AA371" s="1" t="s">
        <v>116</v>
      </c>
      <c r="AB371" s="1" t="s">
        <v>158</v>
      </c>
      <c r="AC371" s="1" t="s">
        <v>128</v>
      </c>
      <c r="AD371" s="1">
        <v>0</v>
      </c>
      <c r="AE371" s="1" t="s">
        <v>116</v>
      </c>
      <c r="AF371" s="1">
        <v>0</v>
      </c>
      <c r="AG371" s="1" t="s">
        <v>113</v>
      </c>
      <c r="AH371" s="1">
        <v>0</v>
      </c>
      <c r="AI371" s="1">
        <v>0</v>
      </c>
      <c r="AJ371" s="1">
        <v>0</v>
      </c>
      <c r="AK371" s="1" t="s">
        <v>530</v>
      </c>
      <c r="AL371" s="4">
        <v>2500</v>
      </c>
      <c r="AM371" s="1" t="s">
        <v>4600</v>
      </c>
      <c r="AN371" s="4">
        <v>2500</v>
      </c>
      <c r="AO371" s="1" t="s">
        <v>113</v>
      </c>
      <c r="AP371" s="1" t="s">
        <v>113</v>
      </c>
      <c r="AQ371" s="1">
        <v>0</v>
      </c>
      <c r="AR371" s="1">
        <v>0</v>
      </c>
      <c r="AS371" s="1">
        <v>0</v>
      </c>
      <c r="AT371" s="1" t="s">
        <v>123</v>
      </c>
      <c r="AU371" s="1" t="s">
        <v>106</v>
      </c>
      <c r="AV371" s="1" t="s">
        <v>106</v>
      </c>
      <c r="AW371" s="1" t="s">
        <v>164</v>
      </c>
      <c r="AX371" s="1"/>
      <c r="AY371" s="1">
        <v>0</v>
      </c>
      <c r="AZ371" s="1" t="s">
        <v>113</v>
      </c>
      <c r="BA371" s="1" t="s">
        <v>113</v>
      </c>
      <c r="BB371" s="1" t="s">
        <v>125</v>
      </c>
      <c r="BC371" s="1"/>
      <c r="BD371" s="1">
        <v>0</v>
      </c>
      <c r="BE371" s="1">
        <v>100</v>
      </c>
      <c r="BF371" s="1" t="s">
        <v>167</v>
      </c>
      <c r="BG371" s="1" t="s">
        <v>383</v>
      </c>
      <c r="BH371" s="1" t="s">
        <v>269</v>
      </c>
      <c r="BI371" s="1" t="s">
        <v>269</v>
      </c>
      <c r="BJ371" s="1" t="s">
        <v>128</v>
      </c>
      <c r="BK371" s="1">
        <v>0</v>
      </c>
      <c r="BL371" s="1" t="s">
        <v>127</v>
      </c>
      <c r="BM371" s="1" t="s">
        <v>114</v>
      </c>
      <c r="BN371" s="1">
        <v>17</v>
      </c>
      <c r="BO371" s="1">
        <v>0</v>
      </c>
      <c r="BP371" s="1" t="s">
        <v>124</v>
      </c>
      <c r="BQ371" s="1">
        <v>0</v>
      </c>
      <c r="BR371" s="1" t="s">
        <v>4601</v>
      </c>
      <c r="BS371" s="1" t="s">
        <v>4602</v>
      </c>
      <c r="BT371" s="1" t="s">
        <v>172</v>
      </c>
      <c r="BU371" s="1" t="s">
        <v>239</v>
      </c>
      <c r="BV371" s="1" t="s">
        <v>4603</v>
      </c>
      <c r="BW371" s="1" t="s">
        <v>134</v>
      </c>
      <c r="BX371" s="1" t="s">
        <v>2937</v>
      </c>
      <c r="BY371" s="1" t="s">
        <v>135</v>
      </c>
      <c r="BZ371" s="1" t="s">
        <v>4107</v>
      </c>
      <c r="CA371" s="1">
        <v>360</v>
      </c>
      <c r="CB371" s="1" t="s">
        <v>244</v>
      </c>
      <c r="CC371" s="1" t="s">
        <v>177</v>
      </c>
      <c r="CD371" s="1" t="s">
        <v>4604</v>
      </c>
      <c r="CE371" s="1" t="s">
        <v>478</v>
      </c>
      <c r="CF371" s="4">
        <v>259561481</v>
      </c>
      <c r="CG371" s="4">
        <v>117447670</v>
      </c>
      <c r="CH371" s="4">
        <v>117447670</v>
      </c>
      <c r="CI371" s="1">
        <v>0</v>
      </c>
      <c r="CJ371" s="1">
        <v>1925010</v>
      </c>
      <c r="CK371" s="1">
        <v>192500</v>
      </c>
      <c r="CL371" s="1">
        <v>192500</v>
      </c>
      <c r="CM371" s="1">
        <v>0</v>
      </c>
      <c r="CN371" s="1">
        <v>0</v>
      </c>
      <c r="CO371" s="1">
        <v>0</v>
      </c>
      <c r="CP371" s="1">
        <v>0</v>
      </c>
      <c r="CQ371" s="1">
        <v>0</v>
      </c>
      <c r="CR371" s="1" t="s">
        <v>139</v>
      </c>
      <c r="CS371" s="1" t="s">
        <v>308</v>
      </c>
      <c r="CT371" s="1" t="s">
        <v>746</v>
      </c>
      <c r="CU371" s="1"/>
      <c r="CV371" s="1" t="s">
        <v>771</v>
      </c>
      <c r="CW371" s="1" t="s">
        <v>251</v>
      </c>
      <c r="CX371" s="1">
        <v>0</v>
      </c>
      <c r="CY371" s="1">
        <v>0</v>
      </c>
      <c r="CZ371" s="1" t="s">
        <v>144</v>
      </c>
      <c r="DA371" s="1" t="s">
        <v>145</v>
      </c>
    </row>
    <row r="372" spans="1:105" s="3" customFormat="1" ht="11.25" customHeight="1" x14ac:dyDescent="0.2">
      <c r="A372" s="3">
        <v>41</v>
      </c>
      <c r="B372" s="3" t="s">
        <v>4606</v>
      </c>
      <c r="C372" s="3" t="s">
        <v>4605</v>
      </c>
      <c r="D372" s="3">
        <v>3495</v>
      </c>
      <c r="E372" s="2" t="s">
        <v>4201</v>
      </c>
      <c r="F372" s="1" t="s">
        <v>113</v>
      </c>
      <c r="G372" s="1" t="s">
        <v>190</v>
      </c>
      <c r="H372" s="1" t="s">
        <v>1146</v>
      </c>
      <c r="I372" s="1" t="s">
        <v>229</v>
      </c>
      <c r="J372" s="1" t="s">
        <v>229</v>
      </c>
      <c r="L372" s="1" t="s">
        <v>111</v>
      </c>
      <c r="M372" s="1" t="s">
        <v>230</v>
      </c>
      <c r="N372" s="1" t="s">
        <v>112</v>
      </c>
      <c r="O372" s="1" t="s">
        <v>113</v>
      </c>
      <c r="P372" s="1" t="s">
        <v>113</v>
      </c>
      <c r="Q372" s="1" t="s">
        <v>195</v>
      </c>
      <c r="R372" s="1" t="s">
        <v>4607</v>
      </c>
      <c r="S372" s="1" t="s">
        <v>114</v>
      </c>
      <c r="T372" s="1" t="s">
        <v>113</v>
      </c>
      <c r="U372" s="1" t="s">
        <v>127</v>
      </c>
      <c r="V372" s="1" t="s">
        <v>157</v>
      </c>
      <c r="W372" s="1" t="s">
        <v>115</v>
      </c>
      <c r="X372" s="1" t="s">
        <v>113</v>
      </c>
      <c r="Y372" s="1" t="s">
        <v>127</v>
      </c>
      <c r="Z372" s="1">
        <v>100</v>
      </c>
      <c r="AA372" s="1" t="s">
        <v>132</v>
      </c>
      <c r="AB372" s="1" t="s">
        <v>128</v>
      </c>
      <c r="AC372" s="1" t="s">
        <v>118</v>
      </c>
      <c r="AD372" s="1">
        <v>100</v>
      </c>
      <c r="AE372" s="1" t="s">
        <v>116</v>
      </c>
      <c r="AF372" s="1">
        <v>792</v>
      </c>
      <c r="AG372" s="1" t="s">
        <v>113</v>
      </c>
      <c r="AH372" s="1">
        <v>88</v>
      </c>
      <c r="AI372" s="1">
        <v>12</v>
      </c>
      <c r="AJ372" s="1">
        <v>0</v>
      </c>
      <c r="AK372" s="1" t="s">
        <v>232</v>
      </c>
      <c r="AL372" s="1">
        <v>0</v>
      </c>
      <c r="AM372" s="1" t="s">
        <v>4608</v>
      </c>
      <c r="AN372" s="1">
        <v>0</v>
      </c>
      <c r="AO372" s="1" t="s">
        <v>113</v>
      </c>
      <c r="AP372" s="1" t="s">
        <v>113</v>
      </c>
      <c r="AQ372" s="1" t="s">
        <v>157</v>
      </c>
      <c r="AR372" s="1" t="s">
        <v>157</v>
      </c>
      <c r="AS372" s="1" t="s">
        <v>157</v>
      </c>
      <c r="AT372" s="1" t="s">
        <v>123</v>
      </c>
      <c r="AU372" s="1" t="s">
        <v>113</v>
      </c>
      <c r="AV372" s="1" t="s">
        <v>113</v>
      </c>
      <c r="AW372" s="1" t="s">
        <v>164</v>
      </c>
      <c r="AX372" s="1" t="s">
        <v>165</v>
      </c>
      <c r="AY372" s="1">
        <v>0</v>
      </c>
      <c r="AZ372" s="1" t="s">
        <v>113</v>
      </c>
      <c r="BA372" s="1" t="s">
        <v>113</v>
      </c>
      <c r="BB372" s="1" t="s">
        <v>125</v>
      </c>
      <c r="BC372" s="1" t="s">
        <v>166</v>
      </c>
      <c r="BD372" s="1">
        <v>0</v>
      </c>
      <c r="BE372" s="1">
        <v>100</v>
      </c>
      <c r="BF372" s="1" t="s">
        <v>167</v>
      </c>
      <c r="BG372" s="1" t="s">
        <v>132</v>
      </c>
      <c r="BH372" s="1" t="s">
        <v>168</v>
      </c>
      <c r="BI372" s="1" t="s">
        <v>168</v>
      </c>
      <c r="BJ372" s="1" t="s">
        <v>128</v>
      </c>
      <c r="BK372" s="5" t="s">
        <v>220</v>
      </c>
      <c r="BL372" s="1" t="s">
        <v>4609</v>
      </c>
      <c r="BM372" s="1" t="s">
        <v>114</v>
      </c>
      <c r="BN372" s="1">
        <v>0</v>
      </c>
      <c r="BO372" s="1">
        <v>0</v>
      </c>
      <c r="BP372" s="1" t="s">
        <v>115</v>
      </c>
      <c r="BQ372" s="1" t="s">
        <v>4610</v>
      </c>
      <c r="BR372" s="1" t="s">
        <v>4611</v>
      </c>
      <c r="BS372" s="1" t="s">
        <v>4612</v>
      </c>
      <c r="BT372" s="1" t="s">
        <v>172</v>
      </c>
      <c r="BU372" s="1" t="s">
        <v>132</v>
      </c>
      <c r="BV372" s="1" t="s">
        <v>3391</v>
      </c>
      <c r="BW372" s="1" t="s">
        <v>134</v>
      </c>
      <c r="BX372" s="1" t="s">
        <v>135</v>
      </c>
      <c r="BY372" s="1" t="s">
        <v>135</v>
      </c>
      <c r="BZ372" s="1" t="s">
        <v>4613</v>
      </c>
      <c r="CA372" s="5" t="s">
        <v>220</v>
      </c>
      <c r="CB372" s="1" t="s">
        <v>176</v>
      </c>
      <c r="CC372" s="1" t="s">
        <v>301</v>
      </c>
      <c r="CD372" s="1" t="s">
        <v>4614</v>
      </c>
      <c r="CE372" s="1" t="s">
        <v>179</v>
      </c>
      <c r="CF372" s="1">
        <v>90719.34</v>
      </c>
      <c r="CG372" s="1">
        <v>467878.8</v>
      </c>
      <c r="CH372" s="1">
        <v>590.75</v>
      </c>
      <c r="CI372" s="5" t="s">
        <v>220</v>
      </c>
      <c r="CJ372" s="5" t="s">
        <v>220</v>
      </c>
      <c r="CK372" s="1">
        <v>590.75</v>
      </c>
      <c r="CL372" s="5" t="s">
        <v>220</v>
      </c>
      <c r="CM372" s="5" t="s">
        <v>220</v>
      </c>
      <c r="CN372" s="5" t="s">
        <v>220</v>
      </c>
      <c r="CO372" s="5" t="s">
        <v>220</v>
      </c>
      <c r="CP372" s="5" t="s">
        <v>220</v>
      </c>
      <c r="CQ372" s="5" t="s">
        <v>220</v>
      </c>
      <c r="CR372" s="1" t="s">
        <v>139</v>
      </c>
      <c r="CS372" s="1" t="s">
        <v>140</v>
      </c>
      <c r="CT372" s="1" t="s">
        <v>223</v>
      </c>
      <c r="CW372" s="1" t="s">
        <v>284</v>
      </c>
      <c r="CX372" s="1" t="s">
        <v>4615</v>
      </c>
      <c r="CY372" s="1" t="s">
        <v>276</v>
      </c>
      <c r="CZ372" s="1" t="s">
        <v>144</v>
      </c>
      <c r="DA372" s="1" t="s">
        <v>145</v>
      </c>
    </row>
    <row r="373" spans="1:105" s="3" customFormat="1" ht="11.25" customHeight="1" x14ac:dyDescent="0.2">
      <c r="A373" s="3">
        <v>41</v>
      </c>
      <c r="B373" s="3" t="s">
        <v>4617</v>
      </c>
      <c r="C373" s="3" t="s">
        <v>4616</v>
      </c>
      <c r="D373" s="3">
        <v>10645</v>
      </c>
      <c r="E373" s="2" t="s">
        <v>4201</v>
      </c>
      <c r="F373" s="1" t="s">
        <v>113</v>
      </c>
      <c r="H373" s="1" t="s">
        <v>3162</v>
      </c>
      <c r="I373" s="1" t="s">
        <v>229</v>
      </c>
      <c r="J373" s="1" t="s">
        <v>229</v>
      </c>
      <c r="L373" s="1" t="s">
        <v>111</v>
      </c>
      <c r="M373" s="1" t="s">
        <v>111</v>
      </c>
      <c r="N373" s="1" t="s">
        <v>112</v>
      </c>
      <c r="O373" s="1" t="s">
        <v>113</v>
      </c>
      <c r="P373" s="1" t="s">
        <v>113</v>
      </c>
      <c r="Q373" s="1" t="s">
        <v>195</v>
      </c>
      <c r="R373" s="1" t="s">
        <v>4618</v>
      </c>
      <c r="S373" s="1" t="s">
        <v>4618</v>
      </c>
      <c r="T373" s="1" t="s">
        <v>106</v>
      </c>
      <c r="U373" s="1" t="s">
        <v>4619</v>
      </c>
      <c r="V373" s="1" t="s">
        <v>4620</v>
      </c>
      <c r="W373" s="1" t="s">
        <v>115</v>
      </c>
      <c r="X373" s="1" t="s">
        <v>113</v>
      </c>
      <c r="Y373" s="1" t="s">
        <v>114</v>
      </c>
      <c r="Z373" s="1">
        <v>100</v>
      </c>
      <c r="AA373" s="1" t="s">
        <v>116</v>
      </c>
      <c r="AB373" s="1" t="s">
        <v>128</v>
      </c>
      <c r="AC373" s="1" t="s">
        <v>118</v>
      </c>
      <c r="AD373" s="1">
        <v>5</v>
      </c>
      <c r="AE373" s="1" t="s">
        <v>116</v>
      </c>
      <c r="AF373" s="1">
        <v>1300</v>
      </c>
      <c r="AG373" s="1" t="s">
        <v>113</v>
      </c>
      <c r="AH373" s="1">
        <v>60</v>
      </c>
      <c r="AI373" s="1">
        <v>30</v>
      </c>
      <c r="AJ373" s="1">
        <v>10</v>
      </c>
      <c r="AK373" s="1" t="s">
        <v>626</v>
      </c>
      <c r="AL373" s="1">
        <v>2000</v>
      </c>
      <c r="AM373" s="1" t="s">
        <v>172</v>
      </c>
      <c r="AN373" s="1">
        <v>2000</v>
      </c>
      <c r="AO373" s="1" t="s">
        <v>113</v>
      </c>
      <c r="AP373" s="1" t="s">
        <v>106</v>
      </c>
      <c r="AQ373" s="1" t="s">
        <v>4621</v>
      </c>
      <c r="AR373" s="1" t="s">
        <v>4622</v>
      </c>
      <c r="AS373" s="1" t="s">
        <v>4623</v>
      </c>
      <c r="AT373" s="1" t="s">
        <v>123</v>
      </c>
      <c r="AU373" s="1" t="s">
        <v>113</v>
      </c>
      <c r="AV373" s="1" t="s">
        <v>113</v>
      </c>
      <c r="AW373" s="1" t="s">
        <v>124</v>
      </c>
      <c r="AY373" s="1">
        <v>400</v>
      </c>
      <c r="AZ373" s="1" t="s">
        <v>113</v>
      </c>
      <c r="BA373" s="1" t="s">
        <v>113</v>
      </c>
      <c r="BB373" s="1" t="s">
        <v>125</v>
      </c>
      <c r="BC373" s="1" t="s">
        <v>166</v>
      </c>
      <c r="BD373" s="1">
        <v>0</v>
      </c>
      <c r="BE373" s="1">
        <v>100</v>
      </c>
      <c r="BF373" s="1" t="s">
        <v>167</v>
      </c>
      <c r="BG373" s="1" t="s">
        <v>268</v>
      </c>
      <c r="BH373" s="1" t="s">
        <v>269</v>
      </c>
      <c r="BI373" s="1" t="s">
        <v>269</v>
      </c>
      <c r="BJ373" s="1" t="s">
        <v>128</v>
      </c>
      <c r="BK373" s="1">
        <v>0</v>
      </c>
      <c r="BL373" s="1" t="s">
        <v>127</v>
      </c>
      <c r="BM373" s="1" t="s">
        <v>114</v>
      </c>
      <c r="BN373" s="1">
        <v>12</v>
      </c>
      <c r="BO373" s="1">
        <v>0</v>
      </c>
      <c r="BP373" s="1" t="s">
        <v>115</v>
      </c>
      <c r="BQ373" s="1" t="s">
        <v>1338</v>
      </c>
      <c r="BR373" s="1" t="s">
        <v>4624</v>
      </c>
      <c r="BS373" s="1" t="s">
        <v>4625</v>
      </c>
      <c r="BT373" s="1" t="s">
        <v>172</v>
      </c>
      <c r="BU373" s="1" t="s">
        <v>132</v>
      </c>
      <c r="BV373" s="1" t="s">
        <v>275</v>
      </c>
      <c r="BW373" s="1" t="s">
        <v>134</v>
      </c>
      <c r="BX373" s="1" t="s">
        <v>135</v>
      </c>
      <c r="BY373" s="1" t="s">
        <v>135</v>
      </c>
      <c r="BZ373" s="1" t="s">
        <v>4157</v>
      </c>
      <c r="CA373" s="1">
        <v>1300</v>
      </c>
      <c r="CB373" s="1" t="s">
        <v>176</v>
      </c>
      <c r="CC373" s="1" t="s">
        <v>301</v>
      </c>
      <c r="CF373" s="1">
        <v>500000</v>
      </c>
      <c r="CG373" s="1">
        <v>700000</v>
      </c>
      <c r="CH373" s="1">
        <v>100</v>
      </c>
      <c r="CI373" s="1">
        <v>50</v>
      </c>
      <c r="CJ373" s="1">
        <v>162</v>
      </c>
      <c r="CK373" s="1">
        <v>385</v>
      </c>
      <c r="CL373" s="1">
        <v>200</v>
      </c>
      <c r="CM373" s="1">
        <v>162</v>
      </c>
      <c r="CN373" s="1">
        <v>50</v>
      </c>
      <c r="CO373" s="1">
        <v>0</v>
      </c>
      <c r="CP373" s="1">
        <v>0</v>
      </c>
      <c r="CQ373" s="1">
        <v>0</v>
      </c>
      <c r="CR373" s="1" t="s">
        <v>139</v>
      </c>
      <c r="CS373" s="1" t="s">
        <v>140</v>
      </c>
      <c r="CT373" s="1" t="s">
        <v>1309</v>
      </c>
      <c r="CV373" s="1" t="s">
        <v>1198</v>
      </c>
      <c r="CW373" s="1" t="s">
        <v>141</v>
      </c>
      <c r="CX373" s="1" t="s">
        <v>4626</v>
      </c>
      <c r="CY373" s="1" t="s">
        <v>143</v>
      </c>
      <c r="CZ373" s="1" t="s">
        <v>144</v>
      </c>
      <c r="DA373" s="1" t="s">
        <v>145</v>
      </c>
    </row>
    <row r="374" spans="1:105" s="3" customFormat="1" ht="11.25" customHeight="1" x14ac:dyDescent="0.2">
      <c r="A374" s="3">
        <v>41</v>
      </c>
      <c r="B374" s="3" t="s">
        <v>4628</v>
      </c>
      <c r="C374" s="3" t="s">
        <v>4627</v>
      </c>
      <c r="D374" s="3">
        <v>4979</v>
      </c>
      <c r="E374" s="2" t="s">
        <v>4201</v>
      </c>
      <c r="F374" s="1" t="s">
        <v>106</v>
      </c>
      <c r="G374" s="1" t="s">
        <v>254</v>
      </c>
      <c r="H374" s="1" t="s">
        <v>255</v>
      </c>
      <c r="I374" s="1" t="s">
        <v>3008</v>
      </c>
      <c r="J374" s="1" t="s">
        <v>106</v>
      </c>
      <c r="K374" s="1" t="s">
        <v>4225</v>
      </c>
      <c r="L374" s="1" t="s">
        <v>111</v>
      </c>
      <c r="M374" s="1" t="s">
        <v>191</v>
      </c>
      <c r="N374" s="1" t="s">
        <v>112</v>
      </c>
      <c r="O374" s="1" t="s">
        <v>113</v>
      </c>
      <c r="P374" s="1" t="s">
        <v>113</v>
      </c>
      <c r="Q374" s="1" t="s">
        <v>195</v>
      </c>
      <c r="R374" s="1" t="s">
        <v>4629</v>
      </c>
      <c r="S374" s="1" t="s">
        <v>157</v>
      </c>
      <c r="T374" s="1" t="s">
        <v>106</v>
      </c>
      <c r="U374" s="1" t="s">
        <v>4630</v>
      </c>
      <c r="V374" s="1" t="s">
        <v>4631</v>
      </c>
      <c r="W374" s="1" t="s">
        <v>115</v>
      </c>
      <c r="X374" s="1" t="s">
        <v>113</v>
      </c>
      <c r="Y374" s="1" t="s">
        <v>157</v>
      </c>
      <c r="Z374" s="1">
        <v>100</v>
      </c>
      <c r="AA374" s="1" t="s">
        <v>132</v>
      </c>
      <c r="AB374" s="1" t="s">
        <v>128</v>
      </c>
      <c r="AC374" s="1" t="s">
        <v>128</v>
      </c>
      <c r="AD374" s="1">
        <v>0</v>
      </c>
      <c r="AE374" s="1" t="s">
        <v>4632</v>
      </c>
      <c r="AF374" s="1" t="s">
        <v>4633</v>
      </c>
      <c r="AG374" s="1" t="s">
        <v>113</v>
      </c>
      <c r="AH374" s="1">
        <v>65</v>
      </c>
      <c r="AI374" s="1">
        <v>35</v>
      </c>
      <c r="AJ374" s="1">
        <v>0</v>
      </c>
      <c r="AK374" s="1" t="s">
        <v>1002</v>
      </c>
      <c r="AL374" s="1">
        <v>1000</v>
      </c>
      <c r="AM374" s="1" t="s">
        <v>363</v>
      </c>
      <c r="AO374" s="1" t="s">
        <v>113</v>
      </c>
      <c r="AP374" s="1" t="s">
        <v>113</v>
      </c>
      <c r="AQ374" s="1" t="s">
        <v>157</v>
      </c>
      <c r="AR374" s="1" t="s">
        <v>157</v>
      </c>
      <c r="AS374" s="1" t="s">
        <v>157</v>
      </c>
      <c r="AT374" s="1" t="s">
        <v>123</v>
      </c>
      <c r="AU374" s="1" t="s">
        <v>113</v>
      </c>
      <c r="AV374" s="1" t="s">
        <v>113</v>
      </c>
      <c r="AW374" s="1" t="s">
        <v>124</v>
      </c>
      <c r="AX374" s="1" t="s">
        <v>165</v>
      </c>
      <c r="AY374" s="1">
        <v>0</v>
      </c>
      <c r="AZ374" s="1" t="s">
        <v>113</v>
      </c>
      <c r="BA374" s="1" t="s">
        <v>113</v>
      </c>
      <c r="BB374" s="1" t="s">
        <v>125</v>
      </c>
      <c r="BD374" s="1">
        <v>0</v>
      </c>
      <c r="BE374" s="1">
        <v>100</v>
      </c>
      <c r="BF374" s="1" t="s">
        <v>167</v>
      </c>
      <c r="BG374" s="1" t="s">
        <v>132</v>
      </c>
      <c r="BH374" s="1" t="s">
        <v>269</v>
      </c>
      <c r="BI374" s="1" t="s">
        <v>269</v>
      </c>
      <c r="BJ374" s="1" t="s">
        <v>128</v>
      </c>
      <c r="BK374" s="1">
        <v>0</v>
      </c>
      <c r="BL374" s="1" t="s">
        <v>127</v>
      </c>
      <c r="BM374" s="1" t="s">
        <v>114</v>
      </c>
      <c r="BN374" s="1">
        <v>46</v>
      </c>
      <c r="BP374" s="1" t="s">
        <v>115</v>
      </c>
      <c r="BQ374" s="1" t="s">
        <v>4634</v>
      </c>
      <c r="BR374" s="1" t="s">
        <v>4635</v>
      </c>
      <c r="BS374" s="1" t="s">
        <v>4636</v>
      </c>
      <c r="BT374" s="1" t="s">
        <v>172</v>
      </c>
      <c r="BU374" s="1" t="s">
        <v>132</v>
      </c>
      <c r="BV374" s="1" t="s">
        <v>174</v>
      </c>
      <c r="BW374" s="1" t="s">
        <v>134</v>
      </c>
      <c r="BX374" s="1" t="s">
        <v>157</v>
      </c>
      <c r="BY374" s="1" t="s">
        <v>135</v>
      </c>
      <c r="BZ374" s="1" t="s">
        <v>4637</v>
      </c>
      <c r="CA374" s="1" t="s">
        <v>4633</v>
      </c>
      <c r="CB374" s="1" t="s">
        <v>137</v>
      </c>
      <c r="CC374" s="1" t="s">
        <v>217</v>
      </c>
      <c r="CE374" s="1" t="s">
        <v>219</v>
      </c>
      <c r="CF374" s="1">
        <v>0</v>
      </c>
      <c r="CG374" s="1">
        <v>120232</v>
      </c>
      <c r="CH374" s="1">
        <v>297047</v>
      </c>
      <c r="CI374" s="1">
        <v>0</v>
      </c>
      <c r="CJ374" s="1">
        <v>120232</v>
      </c>
      <c r="CK374" s="1">
        <v>234222.23</v>
      </c>
      <c r="CL374" s="1">
        <v>36160</v>
      </c>
      <c r="CM374" s="1">
        <v>0</v>
      </c>
      <c r="CN374" s="1">
        <v>0</v>
      </c>
      <c r="CO374" s="1">
        <v>0</v>
      </c>
      <c r="CP374" s="1">
        <v>0</v>
      </c>
      <c r="CQ374" s="1">
        <v>0</v>
      </c>
      <c r="CR374" s="1" t="s">
        <v>139</v>
      </c>
      <c r="CS374" s="1" t="s">
        <v>140</v>
      </c>
      <c r="CT374" s="1" t="s">
        <v>157</v>
      </c>
      <c r="CV374" s="1" t="s">
        <v>157</v>
      </c>
      <c r="CW374" s="1" t="s">
        <v>141</v>
      </c>
      <c r="CX374" s="1" t="s">
        <v>4638</v>
      </c>
      <c r="CY374" s="1" t="s">
        <v>143</v>
      </c>
      <c r="CZ374" s="1" t="s">
        <v>144</v>
      </c>
      <c r="DA374" s="1" t="s">
        <v>145</v>
      </c>
    </row>
    <row r="375" spans="1:105" s="3" customFormat="1" ht="11.25" customHeight="1" x14ac:dyDescent="0.2">
      <c r="A375" s="3">
        <v>41</v>
      </c>
      <c r="B375" s="3" t="s">
        <v>4640</v>
      </c>
      <c r="C375" s="3" t="s">
        <v>4639</v>
      </c>
      <c r="D375" s="3">
        <v>16255</v>
      </c>
      <c r="E375" s="2" t="s">
        <v>4201</v>
      </c>
      <c r="F375" s="1" t="s">
        <v>113</v>
      </c>
      <c r="G375" s="1" t="s">
        <v>398</v>
      </c>
      <c r="H375" s="1" t="s">
        <v>4641</v>
      </c>
      <c r="I375" s="1" t="s">
        <v>3740</v>
      </c>
      <c r="J375" s="1" t="s">
        <v>113</v>
      </c>
      <c r="L375" s="1" t="s">
        <v>111</v>
      </c>
      <c r="M375" s="1" t="s">
        <v>4642</v>
      </c>
      <c r="N375" s="1" t="s">
        <v>151</v>
      </c>
      <c r="O375" s="1" t="s">
        <v>113</v>
      </c>
      <c r="P375" s="1" t="s">
        <v>113</v>
      </c>
      <c r="Q375" s="1" t="s">
        <v>195</v>
      </c>
      <c r="R375" s="1" t="s">
        <v>4643</v>
      </c>
      <c r="S375" s="1" t="s">
        <v>373</v>
      </c>
      <c r="T375" s="1" t="s">
        <v>113</v>
      </c>
      <c r="U375" s="1" t="s">
        <v>373</v>
      </c>
      <c r="W375" s="1" t="s">
        <v>115</v>
      </c>
      <c r="Z375" s="1">
        <v>100</v>
      </c>
      <c r="AA375" s="1" t="s">
        <v>132</v>
      </c>
      <c r="AB375" s="1" t="s">
        <v>128</v>
      </c>
      <c r="AC375" s="1" t="s">
        <v>128</v>
      </c>
      <c r="AD375" s="1">
        <v>0</v>
      </c>
      <c r="AE375" s="1" t="s">
        <v>114</v>
      </c>
      <c r="AF375" s="1">
        <v>2170</v>
      </c>
      <c r="AG375" s="1" t="s">
        <v>113</v>
      </c>
      <c r="AH375" s="1">
        <v>0</v>
      </c>
      <c r="AI375" s="1">
        <v>0</v>
      </c>
      <c r="AK375" s="1" t="s">
        <v>530</v>
      </c>
      <c r="AM375" s="1" t="s">
        <v>131</v>
      </c>
      <c r="AP375" s="1" t="s">
        <v>113</v>
      </c>
      <c r="AQ375" s="1" t="s">
        <v>114</v>
      </c>
      <c r="AR375" s="1" t="s">
        <v>114</v>
      </c>
      <c r="AS375" s="1" t="s">
        <v>114</v>
      </c>
      <c r="AT375" s="1" t="s">
        <v>2231</v>
      </c>
      <c r="AU375" s="1" t="s">
        <v>106</v>
      </c>
      <c r="AV375" s="1" t="s">
        <v>106</v>
      </c>
      <c r="AW375" s="1" t="s">
        <v>234</v>
      </c>
      <c r="AX375" s="1" t="s">
        <v>1821</v>
      </c>
      <c r="AY375" s="1">
        <v>0</v>
      </c>
      <c r="AZ375" s="1" t="s">
        <v>113</v>
      </c>
      <c r="BA375" s="1" t="s">
        <v>113</v>
      </c>
      <c r="BB375" s="1" t="s">
        <v>125</v>
      </c>
      <c r="BD375" s="1">
        <v>0</v>
      </c>
      <c r="BE375" s="1">
        <v>100</v>
      </c>
      <c r="BF375" s="1" t="s">
        <v>630</v>
      </c>
      <c r="BG375" s="1" t="s">
        <v>4644</v>
      </c>
      <c r="BJ375" s="1" t="s">
        <v>128</v>
      </c>
      <c r="BK375" s="1">
        <v>0</v>
      </c>
      <c r="BL375" s="1" t="s">
        <v>127</v>
      </c>
      <c r="BN375" s="1" t="s">
        <v>143</v>
      </c>
      <c r="BP375" s="1" t="s">
        <v>124</v>
      </c>
      <c r="BQ375" s="1" t="s">
        <v>4645</v>
      </c>
      <c r="BR375" s="1" t="s">
        <v>4646</v>
      </c>
      <c r="BS375" s="1" t="s">
        <v>4647</v>
      </c>
      <c r="BT375" s="1" t="s">
        <v>172</v>
      </c>
      <c r="BU375" s="1" t="s">
        <v>239</v>
      </c>
      <c r="BV375" s="1" t="s">
        <v>3391</v>
      </c>
      <c r="BW375" s="1" t="s">
        <v>134</v>
      </c>
      <c r="BX375" s="1" t="s">
        <v>325</v>
      </c>
      <c r="BY375" s="1" t="s">
        <v>135</v>
      </c>
      <c r="BZ375" s="1" t="s">
        <v>114</v>
      </c>
      <c r="CA375" s="1">
        <v>2170</v>
      </c>
      <c r="CB375" s="1" t="s">
        <v>244</v>
      </c>
      <c r="CC375" s="1" t="s">
        <v>217</v>
      </c>
      <c r="CF375" s="1">
        <v>580000</v>
      </c>
      <c r="CG375" s="1">
        <v>1891362</v>
      </c>
      <c r="CH375" s="1">
        <v>0</v>
      </c>
      <c r="CI375" s="1">
        <v>0</v>
      </c>
      <c r="CJ375" s="1">
        <v>0</v>
      </c>
      <c r="CK375" s="1">
        <v>0</v>
      </c>
      <c r="CL375" s="1">
        <v>0</v>
      </c>
      <c r="CM375" s="1">
        <v>0</v>
      </c>
      <c r="CN375" s="1">
        <v>0</v>
      </c>
      <c r="CO375" s="1">
        <v>0</v>
      </c>
      <c r="CP375" s="1">
        <v>0</v>
      </c>
      <c r="CQ375" s="1">
        <v>0</v>
      </c>
      <c r="CS375" s="1" t="s">
        <v>327</v>
      </c>
      <c r="CT375" s="1" t="s">
        <v>4648</v>
      </c>
      <c r="CW375" s="1" t="s">
        <v>251</v>
      </c>
      <c r="CX375" s="1" t="s">
        <v>114</v>
      </c>
      <c r="CY375" s="1" t="s">
        <v>157</v>
      </c>
      <c r="CZ375" s="1" t="s">
        <v>144</v>
      </c>
      <c r="DA375" s="1" t="s">
        <v>145</v>
      </c>
    </row>
    <row r="376" spans="1:105" s="3" customFormat="1" ht="11.25" customHeight="1" x14ac:dyDescent="0.2">
      <c r="A376" s="3">
        <v>41</v>
      </c>
      <c r="B376" s="3" t="s">
        <v>4650</v>
      </c>
      <c r="C376" s="3" t="s">
        <v>4649</v>
      </c>
      <c r="D376" s="3">
        <v>5813</v>
      </c>
      <c r="E376" s="2" t="s">
        <v>4201</v>
      </c>
      <c r="F376" s="1" t="s">
        <v>113</v>
      </c>
      <c r="H376" s="1" t="s">
        <v>332</v>
      </c>
      <c r="I376" s="1" t="s">
        <v>193</v>
      </c>
      <c r="J376" s="1" t="s">
        <v>229</v>
      </c>
      <c r="L376" s="1" t="s">
        <v>111</v>
      </c>
      <c r="M376" s="1" t="s">
        <v>230</v>
      </c>
      <c r="N376" s="1" t="s">
        <v>112</v>
      </c>
      <c r="O376" s="1" t="s">
        <v>113</v>
      </c>
      <c r="P376" s="1" t="s">
        <v>113</v>
      </c>
      <c r="Q376" s="1" t="s">
        <v>152</v>
      </c>
      <c r="R376" s="1" t="s">
        <v>114</v>
      </c>
      <c r="S376" s="1" t="s">
        <v>114</v>
      </c>
      <c r="T376" s="1" t="s">
        <v>106</v>
      </c>
      <c r="U376" s="1" t="s">
        <v>114</v>
      </c>
      <c r="V376" s="1" t="s">
        <v>4651</v>
      </c>
      <c r="W376" s="1" t="s">
        <v>115</v>
      </c>
      <c r="X376" s="1" t="s">
        <v>113</v>
      </c>
      <c r="Y376" s="1" t="s">
        <v>127</v>
      </c>
      <c r="Z376" s="1">
        <v>0</v>
      </c>
      <c r="AA376" s="1" t="s">
        <v>116</v>
      </c>
      <c r="AB376" s="1" t="s">
        <v>128</v>
      </c>
      <c r="AC376" s="1" t="s">
        <v>128</v>
      </c>
      <c r="AD376" s="1">
        <v>0</v>
      </c>
      <c r="AE376" s="1" t="s">
        <v>116</v>
      </c>
      <c r="AF376" s="1">
        <v>903</v>
      </c>
      <c r="AG376" s="1" t="s">
        <v>113</v>
      </c>
      <c r="AH376" s="1">
        <v>50</v>
      </c>
      <c r="AI376" s="1">
        <v>50</v>
      </c>
      <c r="AJ376" s="1">
        <v>25</v>
      </c>
      <c r="AK376" s="1" t="s">
        <v>626</v>
      </c>
      <c r="AL376" s="1">
        <v>1200</v>
      </c>
      <c r="AM376" s="1" t="s">
        <v>4652</v>
      </c>
      <c r="AN376" s="1">
        <v>0</v>
      </c>
      <c r="AO376" s="1" t="s">
        <v>113</v>
      </c>
      <c r="AP376" s="1" t="s">
        <v>113</v>
      </c>
      <c r="AQ376" s="1" t="s">
        <v>114</v>
      </c>
      <c r="AR376" s="1" t="s">
        <v>114</v>
      </c>
      <c r="AS376" s="1" t="s">
        <v>114</v>
      </c>
      <c r="AT376" s="1" t="s">
        <v>1322</v>
      </c>
      <c r="AU376" s="1" t="s">
        <v>113</v>
      </c>
      <c r="AV376" s="1" t="s">
        <v>113</v>
      </c>
      <c r="AW376" s="1" t="s">
        <v>164</v>
      </c>
      <c r="AX376" s="1" t="s">
        <v>206</v>
      </c>
      <c r="AY376" s="1">
        <v>0</v>
      </c>
      <c r="AZ376" s="1" t="s">
        <v>113</v>
      </c>
      <c r="BA376" s="1" t="s">
        <v>113</v>
      </c>
      <c r="BB376" s="1" t="s">
        <v>125</v>
      </c>
      <c r="BC376" s="1" t="s">
        <v>166</v>
      </c>
      <c r="BD376" s="1">
        <v>0</v>
      </c>
      <c r="BE376" s="1">
        <v>100</v>
      </c>
      <c r="BF376" s="1" t="s">
        <v>167</v>
      </c>
      <c r="BG376" s="1" t="s">
        <v>116</v>
      </c>
      <c r="BH376" s="1" t="s">
        <v>207</v>
      </c>
      <c r="BI376" s="1" t="s">
        <v>207</v>
      </c>
      <c r="BJ376" s="1" t="s">
        <v>208</v>
      </c>
      <c r="BK376" s="1">
        <v>15</v>
      </c>
      <c r="BL376" s="1" t="s">
        <v>270</v>
      </c>
      <c r="BM376" s="1" t="s">
        <v>210</v>
      </c>
      <c r="BN376" s="1">
        <v>5</v>
      </c>
      <c r="BP376" s="1" t="s">
        <v>124</v>
      </c>
      <c r="BQ376" s="1" t="s">
        <v>1688</v>
      </c>
      <c r="BR376" s="1" t="s">
        <v>4653</v>
      </c>
      <c r="BS376" s="1" t="s">
        <v>4654</v>
      </c>
      <c r="BT376" s="1" t="s">
        <v>172</v>
      </c>
      <c r="BU376" s="1" t="s">
        <v>239</v>
      </c>
      <c r="BV376" s="1" t="s">
        <v>3391</v>
      </c>
      <c r="BW376" s="1" t="s">
        <v>298</v>
      </c>
      <c r="BX376" s="1" t="s">
        <v>325</v>
      </c>
      <c r="BY376" s="1" t="s">
        <v>299</v>
      </c>
      <c r="BZ376" s="1" t="s">
        <v>2517</v>
      </c>
      <c r="CA376" s="1">
        <v>903</v>
      </c>
      <c r="CB376" s="1" t="s">
        <v>244</v>
      </c>
      <c r="CC376" s="1" t="s">
        <v>217</v>
      </c>
      <c r="CD376" s="1" t="s">
        <v>4655</v>
      </c>
      <c r="CE376" s="1" t="s">
        <v>219</v>
      </c>
      <c r="CF376" s="1">
        <v>83316.86</v>
      </c>
      <c r="CG376" s="1">
        <v>718740.64</v>
      </c>
      <c r="CH376" s="1">
        <v>0</v>
      </c>
      <c r="CI376" s="1">
        <v>0</v>
      </c>
      <c r="CJ376" s="1">
        <v>0</v>
      </c>
      <c r="CK376" s="1">
        <v>382.63</v>
      </c>
      <c r="CL376" s="1">
        <v>0</v>
      </c>
      <c r="CM376" s="1">
        <v>0</v>
      </c>
      <c r="CN376" s="1">
        <v>280</v>
      </c>
      <c r="CO376" s="1">
        <v>0</v>
      </c>
      <c r="CP376" s="1">
        <v>0</v>
      </c>
      <c r="CQ376" s="1">
        <v>0</v>
      </c>
      <c r="CR376" s="1" t="s">
        <v>139</v>
      </c>
      <c r="CS376" s="1" t="s">
        <v>848</v>
      </c>
      <c r="CT376" s="1" t="s">
        <v>282</v>
      </c>
      <c r="CV376" s="1" t="s">
        <v>439</v>
      </c>
      <c r="CW376" s="1" t="s">
        <v>251</v>
      </c>
      <c r="CX376" s="1" t="s">
        <v>127</v>
      </c>
      <c r="CY376" s="1" t="s">
        <v>143</v>
      </c>
      <c r="CZ376" s="1" t="s">
        <v>144</v>
      </c>
      <c r="DA376" s="1" t="s">
        <v>145</v>
      </c>
    </row>
    <row r="377" spans="1:105" s="3" customFormat="1" ht="11.25" customHeight="1" x14ac:dyDescent="0.2">
      <c r="A377" s="3">
        <v>41</v>
      </c>
      <c r="B377" s="3" t="s">
        <v>4656</v>
      </c>
      <c r="C377" s="3" t="s">
        <v>2137</v>
      </c>
      <c r="D377" s="3">
        <v>9581</v>
      </c>
      <c r="E377" s="2" t="s">
        <v>4201</v>
      </c>
      <c r="F377" s="1" t="s">
        <v>113</v>
      </c>
      <c r="G377" s="1" t="s">
        <v>190</v>
      </c>
      <c r="H377" s="1" t="s">
        <v>4657</v>
      </c>
      <c r="I377" s="1" t="s">
        <v>229</v>
      </c>
      <c r="J377" s="1" t="s">
        <v>113</v>
      </c>
      <c r="L377" s="1" t="s">
        <v>111</v>
      </c>
      <c r="M377" s="1" t="s">
        <v>1157</v>
      </c>
      <c r="N377" s="1" t="s">
        <v>4658</v>
      </c>
      <c r="O377" s="1" t="s">
        <v>113</v>
      </c>
      <c r="P377" s="1" t="s">
        <v>113</v>
      </c>
      <c r="Q377" s="1" t="s">
        <v>1298</v>
      </c>
      <c r="R377" s="1" t="s">
        <v>114</v>
      </c>
      <c r="S377" s="1" t="s">
        <v>4659</v>
      </c>
      <c r="T377" s="1" t="s">
        <v>113</v>
      </c>
      <c r="U377" s="1" t="s">
        <v>290</v>
      </c>
      <c r="V377" s="1" t="s">
        <v>4660</v>
      </c>
      <c r="W377" s="1" t="s">
        <v>115</v>
      </c>
      <c r="X377" s="1" t="s">
        <v>113</v>
      </c>
      <c r="Y377" s="1" t="s">
        <v>290</v>
      </c>
      <c r="Z377" s="1">
        <v>100</v>
      </c>
      <c r="AA377" s="1" t="s">
        <v>116</v>
      </c>
      <c r="AB377" s="1" t="s">
        <v>128</v>
      </c>
      <c r="AC377" s="1" t="s">
        <v>118</v>
      </c>
      <c r="AD377" s="1">
        <v>30</v>
      </c>
      <c r="AE377" s="1" t="s">
        <v>116</v>
      </c>
      <c r="AF377" s="1">
        <v>3362</v>
      </c>
      <c r="AG377" s="1" t="s">
        <v>113</v>
      </c>
      <c r="AH377" s="1">
        <v>0</v>
      </c>
      <c r="AI377" s="1">
        <v>0</v>
      </c>
      <c r="AJ377" s="1">
        <v>0</v>
      </c>
      <c r="AK377" s="1" t="s">
        <v>232</v>
      </c>
      <c r="AL377" s="1">
        <v>150</v>
      </c>
      <c r="AM377" s="1" t="s">
        <v>3647</v>
      </c>
      <c r="AN377" s="1">
        <v>0</v>
      </c>
      <c r="AO377" s="1" t="s">
        <v>113</v>
      </c>
      <c r="AP377" s="1" t="s">
        <v>113</v>
      </c>
      <c r="AQ377" s="1" t="s">
        <v>290</v>
      </c>
      <c r="AR377" s="1" t="s">
        <v>290</v>
      </c>
      <c r="AS377" s="1" t="s">
        <v>290</v>
      </c>
      <c r="AT377" s="1" t="s">
        <v>123</v>
      </c>
      <c r="AU377" s="1" t="s">
        <v>113</v>
      </c>
      <c r="AV377" s="1" t="s">
        <v>113</v>
      </c>
      <c r="AW377" s="1" t="s">
        <v>164</v>
      </c>
      <c r="AX377" s="1" t="s">
        <v>165</v>
      </c>
      <c r="AY377" s="1">
        <v>186</v>
      </c>
      <c r="AZ377" s="1" t="s">
        <v>113</v>
      </c>
      <c r="BA377" s="1" t="s">
        <v>113</v>
      </c>
      <c r="BB377" s="1" t="s">
        <v>125</v>
      </c>
      <c r="BC377" s="1" t="s">
        <v>166</v>
      </c>
      <c r="BD377" s="1">
        <v>0</v>
      </c>
      <c r="BE377" s="1">
        <v>100</v>
      </c>
      <c r="BF377" s="1" t="s">
        <v>167</v>
      </c>
      <c r="BG377" s="1" t="s">
        <v>268</v>
      </c>
      <c r="BH377" s="1" t="s">
        <v>569</v>
      </c>
      <c r="BI377" s="1" t="s">
        <v>569</v>
      </c>
      <c r="BJ377" s="1" t="s">
        <v>384</v>
      </c>
      <c r="BK377" s="1">
        <v>100</v>
      </c>
      <c r="BL377" s="1" t="s">
        <v>167</v>
      </c>
      <c r="BM377" s="1" t="s">
        <v>271</v>
      </c>
      <c r="BN377" s="1" t="s">
        <v>143</v>
      </c>
      <c r="BP377" s="1" t="s">
        <v>124</v>
      </c>
      <c r="BQ377" s="1" t="s">
        <v>4661</v>
      </c>
      <c r="BR377" s="1" t="s">
        <v>4662</v>
      </c>
      <c r="BS377" s="1" t="s">
        <v>4663</v>
      </c>
      <c r="BT377" s="1" t="s">
        <v>172</v>
      </c>
      <c r="BU377" s="1" t="s">
        <v>132</v>
      </c>
      <c r="BV377" s="1" t="s">
        <v>4664</v>
      </c>
      <c r="BW377" s="1" t="s">
        <v>134</v>
      </c>
      <c r="BX377" s="1" t="s">
        <v>4665</v>
      </c>
      <c r="BY377" s="1" t="s">
        <v>135</v>
      </c>
      <c r="BZ377" s="1" t="s">
        <v>4666</v>
      </c>
      <c r="CA377" s="1">
        <v>3362</v>
      </c>
      <c r="CB377" s="1" t="s">
        <v>244</v>
      </c>
      <c r="CC377" s="1" t="s">
        <v>217</v>
      </c>
      <c r="CF377" s="1" t="s">
        <v>4667</v>
      </c>
      <c r="CG377" s="1" t="s">
        <v>4667</v>
      </c>
      <c r="CH377" s="1" t="s">
        <v>4667</v>
      </c>
      <c r="CI377" s="1" t="s">
        <v>4667</v>
      </c>
      <c r="CJ377" s="1" t="s">
        <v>4667</v>
      </c>
      <c r="CK377" s="1" t="s">
        <v>4667</v>
      </c>
      <c r="CL377" s="1">
        <v>0</v>
      </c>
      <c r="CM377" s="1">
        <v>0</v>
      </c>
      <c r="CN377" s="1">
        <v>0</v>
      </c>
      <c r="CO377" s="1">
        <v>0</v>
      </c>
      <c r="CP377" s="1">
        <v>0</v>
      </c>
      <c r="CQ377" s="1">
        <v>0</v>
      </c>
      <c r="CR377" s="1" t="s">
        <v>139</v>
      </c>
      <c r="CS377" s="1" t="s">
        <v>308</v>
      </c>
      <c r="CT377" s="1" t="s">
        <v>394</v>
      </c>
      <c r="CW377" s="1" t="s">
        <v>251</v>
      </c>
      <c r="CX377" s="1" t="s">
        <v>290</v>
      </c>
      <c r="CY377" s="1" t="s">
        <v>143</v>
      </c>
      <c r="CZ377" s="1" t="s">
        <v>144</v>
      </c>
      <c r="DA377" s="1" t="s">
        <v>145</v>
      </c>
    </row>
    <row r="378" spans="1:105" s="3" customFormat="1" ht="11.25" customHeight="1" x14ac:dyDescent="0.2">
      <c r="A378" s="3">
        <v>41</v>
      </c>
      <c r="B378" s="3" t="s">
        <v>4669</v>
      </c>
      <c r="C378" s="3" t="s">
        <v>4668</v>
      </c>
      <c r="D378" s="3">
        <v>77182</v>
      </c>
      <c r="E378" s="2" t="s">
        <v>4201</v>
      </c>
      <c r="F378" s="1" t="s">
        <v>106</v>
      </c>
      <c r="G378" s="1" t="s">
        <v>4670</v>
      </c>
      <c r="H378" s="1" t="s">
        <v>4671</v>
      </c>
      <c r="I378" s="1" t="s">
        <v>109</v>
      </c>
      <c r="J378" s="1" t="s">
        <v>113</v>
      </c>
      <c r="K378" s="1" t="s">
        <v>4672</v>
      </c>
      <c r="L378" s="1" t="s">
        <v>111</v>
      </c>
      <c r="M378" s="1" t="s">
        <v>1341</v>
      </c>
      <c r="N378" s="1" t="s">
        <v>2906</v>
      </c>
      <c r="O378" s="1" t="s">
        <v>106</v>
      </c>
      <c r="P378" s="1" t="s">
        <v>113</v>
      </c>
      <c r="Q378" s="1" t="s">
        <v>195</v>
      </c>
      <c r="R378" s="1" t="s">
        <v>753</v>
      </c>
      <c r="S378" s="1" t="s">
        <v>4673</v>
      </c>
      <c r="T378" s="1" t="s">
        <v>106</v>
      </c>
      <c r="U378" s="1" t="s">
        <v>4674</v>
      </c>
      <c r="V378" s="1" t="s">
        <v>4675</v>
      </c>
      <c r="W378" s="1" t="s">
        <v>115</v>
      </c>
      <c r="X378" s="1" t="s">
        <v>113</v>
      </c>
      <c r="Y378" s="1" t="s">
        <v>1341</v>
      </c>
      <c r="Z378" s="1">
        <v>100</v>
      </c>
      <c r="AA378" s="1" t="s">
        <v>132</v>
      </c>
      <c r="AB378" s="1" t="s">
        <v>128</v>
      </c>
      <c r="AC378" s="1" t="s">
        <v>384</v>
      </c>
      <c r="AD378" s="1">
        <v>100</v>
      </c>
      <c r="AE378" s="1" t="s">
        <v>132</v>
      </c>
      <c r="AF378" s="1">
        <v>1200</v>
      </c>
      <c r="AG378" s="1" t="s">
        <v>113</v>
      </c>
      <c r="AH378" s="1">
        <v>0</v>
      </c>
      <c r="AI378" s="1">
        <v>0</v>
      </c>
      <c r="AJ378" s="1">
        <v>0</v>
      </c>
      <c r="AK378" s="1" t="s">
        <v>648</v>
      </c>
      <c r="AL378" s="1">
        <v>0</v>
      </c>
      <c r="AM378" s="1" t="s">
        <v>4676</v>
      </c>
      <c r="AN378" s="1">
        <v>0</v>
      </c>
      <c r="AO378" s="1" t="s">
        <v>113</v>
      </c>
      <c r="AP378" s="1" t="s">
        <v>106</v>
      </c>
      <c r="AQ378" s="1" t="s">
        <v>4677</v>
      </c>
      <c r="AR378" s="1" t="s">
        <v>4678</v>
      </c>
      <c r="AS378" s="1" t="s">
        <v>4679</v>
      </c>
      <c r="AT378" s="1" t="s">
        <v>4680</v>
      </c>
      <c r="AU378" s="1" t="s">
        <v>106</v>
      </c>
      <c r="AV378" s="1" t="s">
        <v>113</v>
      </c>
      <c r="AW378" s="1" t="s">
        <v>205</v>
      </c>
      <c r="AY378" s="1">
        <v>0</v>
      </c>
      <c r="AZ378" s="1" t="s">
        <v>113</v>
      </c>
      <c r="BA378" s="1" t="s">
        <v>113</v>
      </c>
      <c r="BB378" s="1" t="s">
        <v>125</v>
      </c>
      <c r="BD378" s="1">
        <v>0</v>
      </c>
      <c r="BE378" s="1">
        <v>100</v>
      </c>
      <c r="BF378" s="1" t="s">
        <v>630</v>
      </c>
      <c r="BG378" s="1" t="s">
        <v>780</v>
      </c>
      <c r="BJ378" s="1" t="s">
        <v>384</v>
      </c>
      <c r="BK378" s="1">
        <v>100</v>
      </c>
      <c r="BL378" s="1" t="s">
        <v>294</v>
      </c>
      <c r="BM378" s="1" t="s">
        <v>781</v>
      </c>
      <c r="BN378" s="1">
        <v>20</v>
      </c>
      <c r="BO378" s="1">
        <v>20</v>
      </c>
      <c r="BP378" s="1" t="s">
        <v>115</v>
      </c>
      <c r="BQ378" s="1" t="s">
        <v>2137</v>
      </c>
      <c r="BR378" s="1" t="s">
        <v>4681</v>
      </c>
      <c r="BS378" s="1" t="s">
        <v>4682</v>
      </c>
      <c r="BT378" s="1" t="s">
        <v>172</v>
      </c>
      <c r="BU378" s="1" t="s">
        <v>132</v>
      </c>
      <c r="BV378" s="1" t="s">
        <v>275</v>
      </c>
      <c r="BW378" s="1" t="s">
        <v>766</v>
      </c>
      <c r="BX378" s="1" t="s">
        <v>325</v>
      </c>
      <c r="BY378" s="1" t="s">
        <v>299</v>
      </c>
      <c r="BZ378" s="1" t="s">
        <v>4683</v>
      </c>
      <c r="CA378" s="1">
        <v>14400</v>
      </c>
      <c r="CB378" s="1" t="s">
        <v>176</v>
      </c>
      <c r="CC378" s="1" t="s">
        <v>177</v>
      </c>
      <c r="CD378" s="1" t="s">
        <v>4684</v>
      </c>
      <c r="CE378" s="1" t="s">
        <v>478</v>
      </c>
      <c r="CF378" s="1" t="s">
        <v>4685</v>
      </c>
      <c r="CG378" s="6">
        <v>3526979.46</v>
      </c>
      <c r="CH378" s="1">
        <v>238.19</v>
      </c>
      <c r="CI378" s="1">
        <v>262.43</v>
      </c>
      <c r="CJ378" s="1">
        <v>262.43</v>
      </c>
      <c r="CK378" s="6">
        <v>74465.34</v>
      </c>
      <c r="CL378" s="1">
        <v>0</v>
      </c>
      <c r="CM378" s="1">
        <v>0</v>
      </c>
      <c r="CN378" s="4">
        <v>83625</v>
      </c>
      <c r="CO378" s="1">
        <v>0</v>
      </c>
      <c r="CP378" s="1">
        <v>0</v>
      </c>
      <c r="CQ378" s="1">
        <v>0</v>
      </c>
      <c r="CR378" s="1" t="s">
        <v>139</v>
      </c>
      <c r="CS378" s="1" t="s">
        <v>140</v>
      </c>
      <c r="CT378" s="1" t="s">
        <v>248</v>
      </c>
      <c r="CU378" s="1" t="s">
        <v>2238</v>
      </c>
      <c r="CV378" s="1" t="s">
        <v>4686</v>
      </c>
      <c r="CW378" s="1" t="s">
        <v>184</v>
      </c>
      <c r="CX378" s="1" t="s">
        <v>584</v>
      </c>
      <c r="CY378" s="1" t="s">
        <v>143</v>
      </c>
      <c r="CZ378" s="1" t="s">
        <v>144</v>
      </c>
      <c r="DA378" s="1" t="s">
        <v>145</v>
      </c>
    </row>
    <row r="379" spans="1:105" s="3" customFormat="1" ht="11.25" customHeight="1" x14ac:dyDescent="0.2">
      <c r="A379" s="3">
        <v>41</v>
      </c>
      <c r="B379" s="3" t="s">
        <v>4688</v>
      </c>
      <c r="C379" s="3" t="s">
        <v>4687</v>
      </c>
      <c r="D379" s="3">
        <v>18048</v>
      </c>
      <c r="E379" s="2" t="s">
        <v>4201</v>
      </c>
      <c r="F379" s="1" t="s">
        <v>106</v>
      </c>
      <c r="G379" s="1" t="s">
        <v>4689</v>
      </c>
      <c r="H379" s="1" t="s">
        <v>4690</v>
      </c>
      <c r="I379" s="1" t="s">
        <v>109</v>
      </c>
      <c r="J379" s="1" t="s">
        <v>106</v>
      </c>
      <c r="K379" s="1" t="s">
        <v>4691</v>
      </c>
      <c r="L379" s="1" t="s">
        <v>4692</v>
      </c>
      <c r="M379" s="1" t="s">
        <v>230</v>
      </c>
      <c r="N379" s="1" t="s">
        <v>1961</v>
      </c>
      <c r="O379" s="1" t="s">
        <v>113</v>
      </c>
      <c r="P379" s="1" t="s">
        <v>113</v>
      </c>
      <c r="Q379" s="1" t="s">
        <v>1298</v>
      </c>
      <c r="R379" s="1" t="s">
        <v>4693</v>
      </c>
      <c r="S379" s="1" t="s">
        <v>4694</v>
      </c>
      <c r="T379" s="1" t="s">
        <v>106</v>
      </c>
      <c r="U379" s="7" t="s">
        <v>4695</v>
      </c>
      <c r="V379" s="1" t="s">
        <v>4696</v>
      </c>
      <c r="W379" s="1" t="s">
        <v>115</v>
      </c>
      <c r="X379" s="1" t="s">
        <v>106</v>
      </c>
      <c r="Y379" s="1" t="s">
        <v>504</v>
      </c>
      <c r="Z379" s="1">
        <v>90</v>
      </c>
      <c r="AA379" s="1" t="s">
        <v>116</v>
      </c>
      <c r="AB379" s="1" t="s">
        <v>128</v>
      </c>
      <c r="AC379" s="1" t="s">
        <v>118</v>
      </c>
      <c r="AD379" s="1">
        <v>5</v>
      </c>
      <c r="AE379" s="1" t="s">
        <v>116</v>
      </c>
      <c r="AF379" s="1">
        <v>1700</v>
      </c>
      <c r="AG379" s="1" t="s">
        <v>113</v>
      </c>
      <c r="AH379" s="1">
        <v>0</v>
      </c>
      <c r="AI379" s="1">
        <v>0</v>
      </c>
      <c r="AJ379" s="1">
        <v>0</v>
      </c>
      <c r="AK379" s="1" t="s">
        <v>530</v>
      </c>
      <c r="AL379" s="1">
        <v>1000</v>
      </c>
      <c r="AM379" s="1" t="s">
        <v>120</v>
      </c>
      <c r="AN379" s="1">
        <v>700</v>
      </c>
      <c r="AO379" s="1" t="s">
        <v>113</v>
      </c>
      <c r="AP379" s="1" t="s">
        <v>113</v>
      </c>
      <c r="AQ379" s="1" t="s">
        <v>4697</v>
      </c>
      <c r="AR379" s="1" t="s">
        <v>4698</v>
      </c>
      <c r="AS379" s="1" t="s">
        <v>4699</v>
      </c>
      <c r="AT379" s="1" t="s">
        <v>123</v>
      </c>
      <c r="AU379" s="1" t="s">
        <v>106</v>
      </c>
      <c r="AV379" s="1" t="s">
        <v>106</v>
      </c>
      <c r="AW379" s="1" t="s">
        <v>234</v>
      </c>
      <c r="AX379" s="1" t="s">
        <v>165</v>
      </c>
      <c r="AY379" s="1">
        <v>100</v>
      </c>
      <c r="AZ379" s="1" t="s">
        <v>113</v>
      </c>
      <c r="BA379" s="1" t="s">
        <v>113</v>
      </c>
      <c r="BB379" s="1" t="s">
        <v>125</v>
      </c>
      <c r="BC379" s="1" t="s">
        <v>166</v>
      </c>
      <c r="BD379" s="1">
        <v>0</v>
      </c>
      <c r="BE379" s="1">
        <v>90</v>
      </c>
      <c r="BF379" s="1" t="s">
        <v>167</v>
      </c>
      <c r="BG379" s="1" t="s">
        <v>116</v>
      </c>
      <c r="BH379" s="1" t="s">
        <v>168</v>
      </c>
      <c r="BI379" s="1" t="s">
        <v>168</v>
      </c>
      <c r="BJ379" s="1" t="s">
        <v>208</v>
      </c>
      <c r="BK379" s="1">
        <v>5</v>
      </c>
      <c r="BL379" s="1" t="s">
        <v>167</v>
      </c>
      <c r="BM379" s="1" t="s">
        <v>210</v>
      </c>
      <c r="BN379" s="1">
        <v>9</v>
      </c>
      <c r="BO379" s="1">
        <v>10</v>
      </c>
      <c r="BP379" s="1" t="s">
        <v>115</v>
      </c>
      <c r="BQ379" s="1" t="s">
        <v>4700</v>
      </c>
      <c r="BR379" s="1" t="s">
        <v>4701</v>
      </c>
      <c r="BS379" s="1" t="s">
        <v>4702</v>
      </c>
      <c r="BT379" s="1" t="s">
        <v>172</v>
      </c>
      <c r="BU379" s="1" t="s">
        <v>173</v>
      </c>
      <c r="BV379" s="1" t="s">
        <v>275</v>
      </c>
      <c r="BW379" s="1" t="s">
        <v>134</v>
      </c>
      <c r="BX379" s="1" t="s">
        <v>137</v>
      </c>
      <c r="BY379" s="1" t="s">
        <v>135</v>
      </c>
      <c r="BZ379" s="1" t="s">
        <v>4703</v>
      </c>
      <c r="CA379" s="1">
        <v>1700</v>
      </c>
      <c r="CB379" s="1" t="s">
        <v>176</v>
      </c>
      <c r="CC379" s="1" t="s">
        <v>277</v>
      </c>
      <c r="CD379" s="1" t="s">
        <v>4704</v>
      </c>
      <c r="CE379" s="1" t="s">
        <v>219</v>
      </c>
      <c r="CF379" s="1">
        <v>600000</v>
      </c>
      <c r="CG379" s="1">
        <v>960000</v>
      </c>
      <c r="CH379" s="1">
        <v>194</v>
      </c>
      <c r="CI379" s="5" t="s">
        <v>1365</v>
      </c>
      <c r="CJ379" s="5" t="s">
        <v>1365</v>
      </c>
      <c r="CK379" s="5" t="s">
        <v>1365</v>
      </c>
      <c r="CL379" s="5" t="s">
        <v>2452</v>
      </c>
      <c r="CM379" s="5" t="s">
        <v>2272</v>
      </c>
      <c r="CN379" s="5" t="s">
        <v>2272</v>
      </c>
      <c r="CO379" s="5" t="s">
        <v>1365</v>
      </c>
      <c r="CP379" s="5" t="s">
        <v>2272</v>
      </c>
      <c r="CQ379" s="5" t="s">
        <v>1365</v>
      </c>
      <c r="CR379" s="1" t="s">
        <v>139</v>
      </c>
      <c r="CS379" s="1" t="s">
        <v>140</v>
      </c>
      <c r="CT379" s="1" t="s">
        <v>1406</v>
      </c>
      <c r="CV379" s="1" t="s">
        <v>2940</v>
      </c>
      <c r="CW379" s="1" t="s">
        <v>420</v>
      </c>
      <c r="CX379" s="1" t="s">
        <v>4705</v>
      </c>
      <c r="CY379" s="1" t="s">
        <v>143</v>
      </c>
      <c r="CZ379" s="1" t="s">
        <v>144</v>
      </c>
      <c r="DA379" s="1" t="s">
        <v>145</v>
      </c>
    </row>
    <row r="380" spans="1:105" s="3" customFormat="1" ht="11.25" customHeight="1" x14ac:dyDescent="0.2">
      <c r="A380" s="3">
        <v>41</v>
      </c>
      <c r="B380" s="3" t="s">
        <v>4707</v>
      </c>
      <c r="C380" s="3" t="s">
        <v>4706</v>
      </c>
      <c r="D380" s="3">
        <v>14989</v>
      </c>
      <c r="E380" s="2" t="s">
        <v>4201</v>
      </c>
      <c r="F380" s="1" t="s">
        <v>106</v>
      </c>
      <c r="G380" s="1" t="s">
        <v>254</v>
      </c>
      <c r="H380" s="1" t="s">
        <v>255</v>
      </c>
      <c r="I380" s="1" t="s">
        <v>109</v>
      </c>
      <c r="J380" s="1" t="s">
        <v>106</v>
      </c>
      <c r="K380" s="1" t="s">
        <v>4708</v>
      </c>
      <c r="L380" s="1" t="s">
        <v>111</v>
      </c>
      <c r="M380" s="1" t="s">
        <v>191</v>
      </c>
      <c r="N380" s="1" t="s">
        <v>112</v>
      </c>
      <c r="O380" s="1" t="s">
        <v>113</v>
      </c>
      <c r="P380" s="1" t="s">
        <v>113</v>
      </c>
      <c r="Q380" s="1" t="s">
        <v>195</v>
      </c>
      <c r="R380" s="1" t="s">
        <v>4709</v>
      </c>
      <c r="S380" s="1" t="s">
        <v>157</v>
      </c>
      <c r="T380" s="1" t="s">
        <v>113</v>
      </c>
      <c r="U380" s="1" t="s">
        <v>157</v>
      </c>
      <c r="W380" s="1" t="s">
        <v>199</v>
      </c>
      <c r="X380" s="1" t="s">
        <v>113</v>
      </c>
      <c r="Y380" s="1" t="s">
        <v>157</v>
      </c>
      <c r="Z380" s="1">
        <v>100</v>
      </c>
      <c r="AA380" s="1" t="s">
        <v>116</v>
      </c>
      <c r="AB380" s="1" t="s">
        <v>128</v>
      </c>
      <c r="AC380" s="1" t="s">
        <v>128</v>
      </c>
      <c r="AD380" s="1">
        <v>0</v>
      </c>
      <c r="AE380" s="1" t="s">
        <v>1263</v>
      </c>
      <c r="AF380" s="1">
        <v>2315</v>
      </c>
      <c r="AG380" s="1" t="s">
        <v>113</v>
      </c>
      <c r="AH380" s="1">
        <v>0</v>
      </c>
      <c r="AI380" s="1">
        <v>0</v>
      </c>
      <c r="AJ380" s="1">
        <v>0</v>
      </c>
      <c r="AK380" s="1" t="s">
        <v>232</v>
      </c>
      <c r="AL380" s="1">
        <v>0</v>
      </c>
      <c r="AM380" s="1" t="s">
        <v>363</v>
      </c>
      <c r="AN380" s="1">
        <v>0</v>
      </c>
      <c r="AO380" s="1" t="s">
        <v>113</v>
      </c>
      <c r="AP380" s="1" t="s">
        <v>106</v>
      </c>
      <c r="AQ380" s="1" t="s">
        <v>4710</v>
      </c>
      <c r="AR380" s="1" t="s">
        <v>4711</v>
      </c>
      <c r="AS380" s="1" t="s">
        <v>4712</v>
      </c>
      <c r="AU380" s="1" t="s">
        <v>113</v>
      </c>
      <c r="AV380" s="1" t="s">
        <v>113</v>
      </c>
      <c r="AW380" s="1" t="s">
        <v>164</v>
      </c>
      <c r="AX380" s="1" t="s">
        <v>165</v>
      </c>
      <c r="AY380" s="1">
        <v>0</v>
      </c>
      <c r="AZ380" s="1" t="s">
        <v>113</v>
      </c>
      <c r="BA380" s="1" t="s">
        <v>113</v>
      </c>
      <c r="BB380" s="1" t="s">
        <v>125</v>
      </c>
      <c r="BC380" s="1" t="s">
        <v>166</v>
      </c>
      <c r="BD380" s="1">
        <v>0</v>
      </c>
      <c r="BE380" s="1">
        <v>100</v>
      </c>
      <c r="BF380" s="1" t="s">
        <v>167</v>
      </c>
      <c r="BG380" s="1" t="s">
        <v>116</v>
      </c>
      <c r="BJ380" s="1" t="s">
        <v>128</v>
      </c>
      <c r="BK380" s="1">
        <v>0</v>
      </c>
      <c r="BL380" s="1" t="s">
        <v>127</v>
      </c>
      <c r="BM380" s="1" t="s">
        <v>114</v>
      </c>
      <c r="BN380" s="1">
        <v>7</v>
      </c>
      <c r="BP380" s="1" t="s">
        <v>115</v>
      </c>
      <c r="BQ380" s="1" t="s">
        <v>1338</v>
      </c>
      <c r="BR380" s="1" t="s">
        <v>4713</v>
      </c>
      <c r="BS380" s="1" t="s">
        <v>1340</v>
      </c>
      <c r="BT380" s="1" t="s">
        <v>172</v>
      </c>
      <c r="BU380" s="1" t="s">
        <v>132</v>
      </c>
      <c r="BV380" s="1" t="s">
        <v>174</v>
      </c>
      <c r="BW380" s="1" t="s">
        <v>134</v>
      </c>
      <c r="BX380" s="1" t="s">
        <v>1263</v>
      </c>
      <c r="BY380" s="1" t="s">
        <v>135</v>
      </c>
      <c r="BZ380" s="1" t="s">
        <v>4714</v>
      </c>
      <c r="CA380" s="1">
        <v>2315</v>
      </c>
      <c r="CB380" s="1" t="s">
        <v>244</v>
      </c>
      <c r="CC380" s="1" t="s">
        <v>217</v>
      </c>
      <c r="CE380" s="1" t="s">
        <v>219</v>
      </c>
      <c r="CF380" s="1">
        <v>1129402.8999999999</v>
      </c>
      <c r="CG380" s="1">
        <v>113816560</v>
      </c>
      <c r="CH380" s="1">
        <v>0</v>
      </c>
      <c r="CI380" s="1">
        <v>0</v>
      </c>
      <c r="CJ380" s="1">
        <v>304</v>
      </c>
      <c r="CK380" s="1">
        <v>0</v>
      </c>
      <c r="CL380" s="1">
        <v>0</v>
      </c>
      <c r="CM380" s="1">
        <v>304</v>
      </c>
      <c r="CN380" s="1">
        <v>0</v>
      </c>
      <c r="CO380" s="1">
        <v>0</v>
      </c>
      <c r="CP380" s="1">
        <v>0</v>
      </c>
      <c r="CQ380" s="1">
        <v>0</v>
      </c>
      <c r="CR380" s="1" t="s">
        <v>139</v>
      </c>
      <c r="CS380" s="1" t="s">
        <v>140</v>
      </c>
      <c r="CT380" s="1" t="s">
        <v>4715</v>
      </c>
      <c r="CW380" s="1" t="s">
        <v>141</v>
      </c>
      <c r="CX380" s="1" t="s">
        <v>4716</v>
      </c>
      <c r="CY380" s="1" t="s">
        <v>143</v>
      </c>
      <c r="CZ380" s="1" t="s">
        <v>144</v>
      </c>
      <c r="DA380" s="1" t="s">
        <v>145</v>
      </c>
    </row>
    <row r="381" spans="1:105" s="3" customFormat="1" ht="11.25" customHeight="1" x14ac:dyDescent="0.2">
      <c r="A381" s="3">
        <v>41</v>
      </c>
      <c r="B381" s="3" t="s">
        <v>4718</v>
      </c>
      <c r="C381" s="3" t="s">
        <v>4717</v>
      </c>
      <c r="D381" s="3">
        <v>18548</v>
      </c>
      <c r="E381" s="2" t="s">
        <v>4201</v>
      </c>
      <c r="F381" s="1" t="s">
        <v>106</v>
      </c>
      <c r="G381" s="1" t="s">
        <v>603</v>
      </c>
      <c r="H381" s="1" t="s">
        <v>2786</v>
      </c>
      <c r="I381" s="1" t="s">
        <v>109</v>
      </c>
      <c r="J381" s="1" t="s">
        <v>113</v>
      </c>
      <c r="K381" s="1" t="s">
        <v>2786</v>
      </c>
      <c r="L381" s="1" t="s">
        <v>111</v>
      </c>
      <c r="M381" s="1" t="s">
        <v>257</v>
      </c>
      <c r="N381" s="1" t="s">
        <v>112</v>
      </c>
      <c r="O381" s="1" t="s">
        <v>113</v>
      </c>
      <c r="P381" s="1" t="s">
        <v>113</v>
      </c>
      <c r="Q381" s="1" t="s">
        <v>258</v>
      </c>
      <c r="R381" s="1" t="s">
        <v>4719</v>
      </c>
      <c r="S381" s="1" t="s">
        <v>4719</v>
      </c>
      <c r="T381" s="1" t="s">
        <v>106</v>
      </c>
      <c r="U381" s="1" t="s">
        <v>4720</v>
      </c>
      <c r="V381" s="1" t="s">
        <v>4119</v>
      </c>
      <c r="W381" s="1" t="s">
        <v>115</v>
      </c>
      <c r="X381" s="1" t="s">
        <v>113</v>
      </c>
      <c r="Y381" s="1" t="s">
        <v>114</v>
      </c>
      <c r="Z381" s="1">
        <v>100</v>
      </c>
      <c r="AA381" s="1" t="s">
        <v>132</v>
      </c>
      <c r="AB381" s="1" t="s">
        <v>128</v>
      </c>
      <c r="AC381" s="1" t="s">
        <v>118</v>
      </c>
      <c r="AD381" s="1">
        <v>60</v>
      </c>
      <c r="AE381" s="1" t="s">
        <v>132</v>
      </c>
      <c r="AF381" s="1">
        <v>105624</v>
      </c>
      <c r="AG381" s="1" t="s">
        <v>113</v>
      </c>
      <c r="AH381" s="1">
        <v>0</v>
      </c>
      <c r="AI381" s="1">
        <v>0</v>
      </c>
      <c r="AJ381" s="1">
        <v>0</v>
      </c>
      <c r="AK381" s="1" t="s">
        <v>232</v>
      </c>
      <c r="AL381" s="1">
        <v>0</v>
      </c>
      <c r="AM381" s="1" t="s">
        <v>4721</v>
      </c>
      <c r="AN381" s="1">
        <v>0</v>
      </c>
      <c r="AO381" s="1" t="s">
        <v>113</v>
      </c>
      <c r="AP381" s="1" t="s">
        <v>113</v>
      </c>
      <c r="AQ381" s="1" t="s">
        <v>861</v>
      </c>
      <c r="AR381" s="1" t="s">
        <v>4722</v>
      </c>
      <c r="AS381" s="1" t="s">
        <v>4723</v>
      </c>
      <c r="AT381" s="1" t="s">
        <v>123</v>
      </c>
      <c r="AU381" s="1" t="s">
        <v>113</v>
      </c>
      <c r="AV381" s="1" t="s">
        <v>113</v>
      </c>
      <c r="AW381" s="1" t="s">
        <v>164</v>
      </c>
      <c r="AX381" s="1" t="s">
        <v>206</v>
      </c>
      <c r="AY381" s="1">
        <v>0</v>
      </c>
      <c r="AZ381" s="1" t="s">
        <v>113</v>
      </c>
      <c r="BA381" s="1" t="s">
        <v>113</v>
      </c>
      <c r="BB381" s="1" t="s">
        <v>125</v>
      </c>
      <c r="BC381" s="1" t="s">
        <v>166</v>
      </c>
      <c r="BD381" s="1">
        <v>0</v>
      </c>
      <c r="BE381" s="1">
        <v>100</v>
      </c>
      <c r="BF381" s="1" t="s">
        <v>167</v>
      </c>
      <c r="BG381" s="1" t="s">
        <v>1188</v>
      </c>
      <c r="BH381" s="1" t="s">
        <v>169</v>
      </c>
      <c r="BI381" s="1" t="s">
        <v>169</v>
      </c>
      <c r="BJ381" s="1" t="s">
        <v>208</v>
      </c>
      <c r="BK381" s="1">
        <v>60</v>
      </c>
      <c r="BL381" s="1" t="s">
        <v>270</v>
      </c>
      <c r="BM381" s="1" t="s">
        <v>3242</v>
      </c>
      <c r="BN381" s="1">
        <v>13</v>
      </c>
      <c r="BO381" s="1"/>
      <c r="BP381" s="1" t="s">
        <v>947</v>
      </c>
      <c r="BQ381" s="1" t="s">
        <v>4724</v>
      </c>
      <c r="BR381" s="1" t="s">
        <v>4725</v>
      </c>
      <c r="BS381" s="1" t="s">
        <v>4726</v>
      </c>
      <c r="BT381" s="1" t="s">
        <v>131</v>
      </c>
      <c r="BU381" s="1" t="s">
        <v>239</v>
      </c>
      <c r="BV381" s="1" t="s">
        <v>1597</v>
      </c>
      <c r="BW381" s="1" t="s">
        <v>134</v>
      </c>
      <c r="BX381" s="1" t="s">
        <v>137</v>
      </c>
      <c r="BY381" s="1" t="s">
        <v>135</v>
      </c>
      <c r="BZ381" s="1" t="s">
        <v>4727</v>
      </c>
      <c r="CA381" s="1">
        <v>1056</v>
      </c>
      <c r="CB381" s="1" t="s">
        <v>176</v>
      </c>
      <c r="CC381" s="1" t="s">
        <v>177</v>
      </c>
      <c r="CD381" s="1"/>
      <c r="CE381" s="1"/>
      <c r="CF381" s="1">
        <v>2264773</v>
      </c>
      <c r="CG381" s="1">
        <v>2056762</v>
      </c>
      <c r="CH381" s="1">
        <v>18533865</v>
      </c>
      <c r="CI381" s="1">
        <v>0</v>
      </c>
      <c r="CJ381" s="1">
        <v>0</v>
      </c>
      <c r="CK381" s="1">
        <v>44473356</v>
      </c>
      <c r="CL381" s="1">
        <v>0</v>
      </c>
      <c r="CM381" s="1">
        <v>0</v>
      </c>
      <c r="CN381" s="1">
        <v>0</v>
      </c>
      <c r="CO381" s="1">
        <v>0</v>
      </c>
      <c r="CP381" s="1">
        <v>0</v>
      </c>
      <c r="CQ381" s="1">
        <v>0</v>
      </c>
      <c r="CR381" s="1" t="s">
        <v>139</v>
      </c>
      <c r="CS381" s="1" t="s">
        <v>140</v>
      </c>
      <c r="CT381" s="1" t="s">
        <v>479</v>
      </c>
      <c r="CU381" s="1" t="s">
        <v>1937</v>
      </c>
      <c r="CV381" s="1" t="s">
        <v>4728</v>
      </c>
      <c r="CW381" s="1" t="s">
        <v>251</v>
      </c>
      <c r="CX381" s="1" t="s">
        <v>1725</v>
      </c>
      <c r="CY381" s="1" t="s">
        <v>143</v>
      </c>
      <c r="CZ381" s="1"/>
      <c r="DA381" s="1"/>
    </row>
    <row r="382" spans="1:105" s="3" customFormat="1" ht="11.25" customHeight="1" x14ac:dyDescent="0.2">
      <c r="A382" s="3">
        <v>41</v>
      </c>
      <c r="B382" s="3" t="s">
        <v>4730</v>
      </c>
      <c r="C382" s="3" t="s">
        <v>4729</v>
      </c>
      <c r="D382" s="3">
        <v>20304</v>
      </c>
      <c r="E382" s="2" t="s">
        <v>4201</v>
      </c>
      <c r="F382" s="1" t="s">
        <v>106</v>
      </c>
      <c r="G382" s="1" t="s">
        <v>4670</v>
      </c>
      <c r="H382" s="1" t="s">
        <v>3162</v>
      </c>
      <c r="I382" s="1" t="s">
        <v>4731</v>
      </c>
      <c r="J382" s="1" t="s">
        <v>113</v>
      </c>
      <c r="K382" s="1" t="s">
        <v>4672</v>
      </c>
      <c r="L382" s="1" t="s">
        <v>149</v>
      </c>
      <c r="M382" s="1" t="s">
        <v>4732</v>
      </c>
      <c r="N382" s="1" t="s">
        <v>4733</v>
      </c>
      <c r="O382" s="1" t="s">
        <v>113</v>
      </c>
      <c r="P382" s="1" t="s">
        <v>113</v>
      </c>
      <c r="Q382" s="1" t="s">
        <v>195</v>
      </c>
      <c r="R382" s="1" t="s">
        <v>4734</v>
      </c>
      <c r="S382" s="1" t="s">
        <v>114</v>
      </c>
      <c r="T382" s="1" t="s">
        <v>106</v>
      </c>
      <c r="U382" s="1" t="s">
        <v>4732</v>
      </c>
      <c r="V382" s="1" t="s">
        <v>4735</v>
      </c>
      <c r="W382" s="1" t="s">
        <v>115</v>
      </c>
      <c r="X382" s="1" t="s">
        <v>113</v>
      </c>
      <c r="Y382" s="1" t="s">
        <v>114</v>
      </c>
      <c r="Z382" s="1">
        <v>100</v>
      </c>
      <c r="AA382" s="1" t="s">
        <v>116</v>
      </c>
      <c r="AB382" s="1" t="s">
        <v>128</v>
      </c>
      <c r="AC382" s="1" t="s">
        <v>118</v>
      </c>
      <c r="AD382" s="1">
        <v>70</v>
      </c>
      <c r="AE382" s="1" t="s">
        <v>116</v>
      </c>
      <c r="AF382" s="1">
        <v>3209</v>
      </c>
      <c r="AG382" s="1" t="s">
        <v>106</v>
      </c>
      <c r="AH382" s="1">
        <v>7</v>
      </c>
      <c r="AI382" s="1">
        <v>33</v>
      </c>
      <c r="AJ382" s="1">
        <v>60</v>
      </c>
      <c r="AK382" s="1" t="s">
        <v>648</v>
      </c>
      <c r="AL382" s="1">
        <v>0</v>
      </c>
      <c r="AM382" s="1" t="s">
        <v>4736</v>
      </c>
      <c r="AN382" s="1">
        <v>0</v>
      </c>
      <c r="AO382" s="1" t="s">
        <v>113</v>
      </c>
      <c r="AP382" s="1" t="s">
        <v>106</v>
      </c>
      <c r="AQ382" s="1" t="s">
        <v>4737</v>
      </c>
      <c r="AR382" s="1" t="s">
        <v>4738</v>
      </c>
      <c r="AS382" s="1" t="s">
        <v>4739</v>
      </c>
      <c r="AT382" s="1" t="s">
        <v>880</v>
      </c>
      <c r="AU382" s="1" t="s">
        <v>113</v>
      </c>
      <c r="AV382" s="1" t="s">
        <v>113</v>
      </c>
      <c r="AW382" s="1" t="s">
        <v>164</v>
      </c>
      <c r="AX382" s="1" t="s">
        <v>165</v>
      </c>
      <c r="AY382" s="1">
        <v>0</v>
      </c>
      <c r="AZ382" s="1" t="s">
        <v>113</v>
      </c>
      <c r="BA382" s="1" t="s">
        <v>113</v>
      </c>
      <c r="BB382" s="1" t="s">
        <v>761</v>
      </c>
      <c r="BC382" s="1" t="s">
        <v>1074</v>
      </c>
      <c r="BD382" s="1">
        <v>220</v>
      </c>
      <c r="BE382" s="1">
        <v>100</v>
      </c>
      <c r="BF382" s="1" t="s">
        <v>167</v>
      </c>
      <c r="BG382" s="1" t="s">
        <v>383</v>
      </c>
      <c r="BH382" s="1" t="s">
        <v>269</v>
      </c>
      <c r="BI382" s="1" t="s">
        <v>269</v>
      </c>
      <c r="BJ382" s="1" t="s">
        <v>208</v>
      </c>
      <c r="BK382" s="1">
        <v>70</v>
      </c>
      <c r="BL382" s="1" t="s">
        <v>1165</v>
      </c>
      <c r="BM382" s="1" t="s">
        <v>386</v>
      </c>
      <c r="BN382" s="1">
        <v>50</v>
      </c>
      <c r="BO382" s="1">
        <v>7</v>
      </c>
      <c r="BP382" s="1" t="s">
        <v>124</v>
      </c>
      <c r="BQ382" s="1" t="s">
        <v>114</v>
      </c>
      <c r="BR382" s="1" t="s">
        <v>4740</v>
      </c>
      <c r="BS382" s="1" t="s">
        <v>4741</v>
      </c>
      <c r="BT382" s="1" t="s">
        <v>172</v>
      </c>
      <c r="BU382" s="1" t="s">
        <v>239</v>
      </c>
      <c r="BV382" s="1" t="s">
        <v>3391</v>
      </c>
      <c r="BW382" s="1" t="s">
        <v>298</v>
      </c>
      <c r="BX382" s="1" t="s">
        <v>767</v>
      </c>
      <c r="BY382" s="1" t="s">
        <v>299</v>
      </c>
      <c r="BZ382" s="1" t="s">
        <v>4742</v>
      </c>
      <c r="CA382" s="1">
        <v>1942</v>
      </c>
      <c r="CB382" s="1" t="s">
        <v>244</v>
      </c>
      <c r="CC382" s="1" t="s">
        <v>217</v>
      </c>
      <c r="CD382" s="1" t="s">
        <v>4743</v>
      </c>
      <c r="CE382" s="1" t="s">
        <v>219</v>
      </c>
      <c r="CF382" s="1">
        <v>754782.83</v>
      </c>
      <c r="CG382" s="1">
        <v>2280769.7000000002</v>
      </c>
      <c r="CH382" s="1">
        <v>489372.28</v>
      </c>
      <c r="CI382" s="1">
        <v>72781.600000000006</v>
      </c>
      <c r="CJ382" s="1">
        <v>133770</v>
      </c>
      <c r="CK382" s="1">
        <v>623109.81999999995</v>
      </c>
      <c r="CL382" s="1">
        <v>250844</v>
      </c>
      <c r="CM382" s="1">
        <v>133770</v>
      </c>
      <c r="CN382" s="1">
        <v>326278</v>
      </c>
      <c r="CO382" s="1">
        <v>0</v>
      </c>
      <c r="CP382" s="1">
        <v>0</v>
      </c>
      <c r="CQ382" s="1">
        <v>250844</v>
      </c>
      <c r="CR382" s="1" t="s">
        <v>139</v>
      </c>
      <c r="CS382" s="1" t="s">
        <v>140</v>
      </c>
      <c r="CT382" s="1" t="s">
        <v>4744</v>
      </c>
      <c r="CU382" s="1" t="s">
        <v>249</v>
      </c>
      <c r="CV382" s="1" t="s">
        <v>4745</v>
      </c>
      <c r="CW382" s="1" t="s">
        <v>141</v>
      </c>
      <c r="CX382" s="1" t="s">
        <v>4746</v>
      </c>
      <c r="CY382" s="1" t="s">
        <v>143</v>
      </c>
      <c r="CZ382" s="1" t="s">
        <v>144</v>
      </c>
      <c r="DA382" s="1" t="s">
        <v>145</v>
      </c>
    </row>
    <row r="383" spans="1:105" s="3" customFormat="1" ht="11.25" customHeight="1" x14ac:dyDescent="0.2">
      <c r="A383" s="3">
        <v>41</v>
      </c>
      <c r="B383" s="3" t="s">
        <v>4748</v>
      </c>
      <c r="C383" s="3" t="s">
        <v>4747</v>
      </c>
      <c r="D383" s="3">
        <v>18279</v>
      </c>
      <c r="E383" s="2" t="s">
        <v>4201</v>
      </c>
      <c r="F383" s="1" t="s">
        <v>106</v>
      </c>
      <c r="G383" s="1" t="s">
        <v>4749</v>
      </c>
      <c r="H383" s="1" t="s">
        <v>4750</v>
      </c>
      <c r="I383" s="1" t="s">
        <v>4751</v>
      </c>
      <c r="J383" s="1" t="s">
        <v>106</v>
      </c>
      <c r="K383" s="1" t="s">
        <v>110</v>
      </c>
      <c r="L383" s="1" t="s">
        <v>111</v>
      </c>
      <c r="M383" s="1" t="s">
        <v>111</v>
      </c>
      <c r="N383" s="1" t="s">
        <v>112</v>
      </c>
      <c r="O383" s="1" t="s">
        <v>106</v>
      </c>
      <c r="P383" s="1" t="s">
        <v>106</v>
      </c>
      <c r="Q383" s="1" t="s">
        <v>195</v>
      </c>
      <c r="R383" s="1">
        <v>2012</v>
      </c>
      <c r="S383" s="1" t="s">
        <v>127</v>
      </c>
      <c r="T383" s="1" t="s">
        <v>106</v>
      </c>
      <c r="U383" s="1" t="s">
        <v>4752</v>
      </c>
      <c r="V383" s="1" t="s">
        <v>4231</v>
      </c>
      <c r="W383" s="1" t="s">
        <v>115</v>
      </c>
      <c r="X383" s="1" t="s">
        <v>113</v>
      </c>
      <c r="Y383" s="1" t="s">
        <v>157</v>
      </c>
      <c r="Z383" s="1">
        <v>100</v>
      </c>
      <c r="AA383" s="1" t="s">
        <v>4753</v>
      </c>
      <c r="AB383" s="1" t="s">
        <v>128</v>
      </c>
      <c r="AC383" s="1" t="s">
        <v>384</v>
      </c>
      <c r="AD383" s="1">
        <v>100</v>
      </c>
      <c r="AE383" s="1" t="s">
        <v>4753</v>
      </c>
      <c r="AF383" s="1">
        <v>1920</v>
      </c>
      <c r="AG383" s="1" t="s">
        <v>113</v>
      </c>
      <c r="AH383" s="1">
        <v>70</v>
      </c>
      <c r="AI383" s="1">
        <v>25</v>
      </c>
      <c r="AJ383" s="1">
        <v>30</v>
      </c>
      <c r="AK383" s="1" t="s">
        <v>232</v>
      </c>
      <c r="AL383" s="1">
        <v>2000</v>
      </c>
      <c r="AM383" s="1" t="s">
        <v>131</v>
      </c>
      <c r="AN383" s="1"/>
      <c r="AO383" s="1" t="s">
        <v>113</v>
      </c>
      <c r="AP383" s="1" t="s">
        <v>113</v>
      </c>
      <c r="AQ383" s="1" t="s">
        <v>114</v>
      </c>
      <c r="AR383" s="1" t="s">
        <v>114</v>
      </c>
      <c r="AS383" s="1" t="s">
        <v>114</v>
      </c>
      <c r="AT383" s="1" t="s">
        <v>123</v>
      </c>
      <c r="AU383" s="1" t="s">
        <v>113</v>
      </c>
      <c r="AV383" s="1" t="s">
        <v>113</v>
      </c>
      <c r="AW383" s="1" t="s">
        <v>164</v>
      </c>
      <c r="AX383" s="1" t="s">
        <v>165</v>
      </c>
      <c r="AY383" s="1">
        <v>0</v>
      </c>
      <c r="AZ383" s="1" t="s">
        <v>113</v>
      </c>
      <c r="BA383" s="1" t="s">
        <v>113</v>
      </c>
      <c r="BB383" s="1" t="s">
        <v>125</v>
      </c>
      <c r="BC383" s="1" t="s">
        <v>166</v>
      </c>
      <c r="BD383" s="1">
        <v>0</v>
      </c>
      <c r="BE383" s="1">
        <v>100</v>
      </c>
      <c r="BF383" s="1" t="s">
        <v>167</v>
      </c>
      <c r="BG383" s="1" t="s">
        <v>268</v>
      </c>
      <c r="BH383" s="1" t="s">
        <v>169</v>
      </c>
      <c r="BI383" s="1" t="s">
        <v>169</v>
      </c>
      <c r="BJ383" s="1" t="s">
        <v>384</v>
      </c>
      <c r="BK383" s="1">
        <v>100</v>
      </c>
      <c r="BL383" s="1" t="s">
        <v>167</v>
      </c>
      <c r="BM383" s="1" t="s">
        <v>271</v>
      </c>
      <c r="BN383" s="1" t="s">
        <v>143</v>
      </c>
      <c r="BO383" s="1">
        <v>28</v>
      </c>
      <c r="BP383" s="1" t="s">
        <v>115</v>
      </c>
      <c r="BQ383" s="1" t="s">
        <v>110</v>
      </c>
      <c r="BR383" s="1" t="s">
        <v>114</v>
      </c>
      <c r="BS383" s="1" t="s">
        <v>110</v>
      </c>
      <c r="BT383" s="1" t="s">
        <v>172</v>
      </c>
      <c r="BU383" s="1" t="s">
        <v>1239</v>
      </c>
      <c r="BV383" s="1" t="s">
        <v>4754</v>
      </c>
      <c r="BW383" s="1" t="s">
        <v>134</v>
      </c>
      <c r="BX383" s="1" t="s">
        <v>114</v>
      </c>
      <c r="BY383" s="1" t="s">
        <v>135</v>
      </c>
      <c r="BZ383" s="1" t="s">
        <v>114</v>
      </c>
      <c r="CA383" s="1">
        <v>1920</v>
      </c>
      <c r="CB383" s="1" t="s">
        <v>4755</v>
      </c>
      <c r="CC383" s="1" t="s">
        <v>301</v>
      </c>
      <c r="CD383" s="1" t="s">
        <v>4756</v>
      </c>
      <c r="CE383" s="1" t="s">
        <v>179</v>
      </c>
      <c r="CF383" s="4">
        <v>136201</v>
      </c>
      <c r="CG383" s="4">
        <v>180000</v>
      </c>
      <c r="CH383" s="4">
        <v>56000</v>
      </c>
      <c r="CI383" s="5" t="s">
        <v>126</v>
      </c>
      <c r="CJ383" s="4">
        <v>16000</v>
      </c>
      <c r="CK383" s="4">
        <v>46000</v>
      </c>
      <c r="CL383" s="4">
        <v>46000</v>
      </c>
      <c r="CM383" s="4">
        <v>16000</v>
      </c>
      <c r="CN383" s="5" t="s">
        <v>126</v>
      </c>
      <c r="CO383" s="5" t="s">
        <v>126</v>
      </c>
      <c r="CP383" s="5" t="s">
        <v>126</v>
      </c>
      <c r="CQ383" s="5" t="s">
        <v>126</v>
      </c>
      <c r="CR383" s="1" t="s">
        <v>139</v>
      </c>
      <c r="CS383" s="1" t="s">
        <v>140</v>
      </c>
      <c r="CT383" s="1" t="s">
        <v>394</v>
      </c>
      <c r="CU383" s="1" t="s">
        <v>617</v>
      </c>
      <c r="CV383" s="1" t="s">
        <v>4757</v>
      </c>
      <c r="CW383" s="1" t="s">
        <v>251</v>
      </c>
      <c r="CX383" s="1" t="s">
        <v>157</v>
      </c>
      <c r="CY383" s="1" t="s">
        <v>143</v>
      </c>
      <c r="CZ383" s="1" t="s">
        <v>144</v>
      </c>
      <c r="DA383" s="1" t="s">
        <v>145</v>
      </c>
    </row>
    <row r="384" spans="1:105" s="3" customFormat="1" ht="11.25" customHeight="1" x14ac:dyDescent="0.2">
      <c r="A384" s="3">
        <v>41</v>
      </c>
      <c r="B384" s="3" t="s">
        <v>4758</v>
      </c>
      <c r="C384" s="3" t="s">
        <v>4759</v>
      </c>
      <c r="D384" s="3">
        <v>125785</v>
      </c>
      <c r="E384" s="2" t="s">
        <v>1688</v>
      </c>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5"/>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5"/>
      <c r="CG384" s="5"/>
      <c r="CH384" s="5"/>
      <c r="CI384" s="5"/>
      <c r="CJ384" s="5"/>
      <c r="CK384" s="1"/>
      <c r="CL384" s="1"/>
      <c r="CM384" s="5"/>
      <c r="CN384" s="5"/>
      <c r="CO384" s="5"/>
      <c r="CP384" s="5"/>
      <c r="CQ384" s="5"/>
      <c r="CR384" s="1"/>
      <c r="CS384" s="1"/>
      <c r="CT384" s="1"/>
      <c r="CV384" s="1"/>
      <c r="CW384" s="1"/>
      <c r="CX384" s="1"/>
      <c r="CY384" s="1"/>
      <c r="CZ384" s="1"/>
      <c r="DA384" s="1"/>
    </row>
    <row r="385" spans="1:105" s="3" customFormat="1" ht="11.25" customHeight="1" x14ac:dyDescent="0.2">
      <c r="A385" s="3">
        <v>41</v>
      </c>
      <c r="B385" s="3" t="s">
        <v>4761</v>
      </c>
      <c r="C385" s="3" t="s">
        <v>4760</v>
      </c>
      <c r="D385" s="3">
        <v>158620</v>
      </c>
      <c r="E385" s="2" t="s">
        <v>4201</v>
      </c>
      <c r="F385" s="1" t="s">
        <v>106</v>
      </c>
      <c r="G385" s="1" t="s">
        <v>1495</v>
      </c>
      <c r="H385" s="1" t="s">
        <v>2835</v>
      </c>
      <c r="I385" s="1" t="s">
        <v>4762</v>
      </c>
      <c r="J385" s="1" t="s">
        <v>113</v>
      </c>
      <c r="L385" s="1" t="s">
        <v>111</v>
      </c>
      <c r="M385" s="1" t="s">
        <v>111</v>
      </c>
      <c r="N385" s="1" t="s">
        <v>112</v>
      </c>
      <c r="O385" s="1" t="s">
        <v>106</v>
      </c>
      <c r="P385" s="1" t="s">
        <v>113</v>
      </c>
      <c r="Q385" s="1" t="s">
        <v>258</v>
      </c>
      <c r="R385" s="1" t="s">
        <v>4763</v>
      </c>
      <c r="S385" s="1" t="s">
        <v>114</v>
      </c>
      <c r="T385" s="1" t="s">
        <v>106</v>
      </c>
      <c r="U385" s="1" t="s">
        <v>4764</v>
      </c>
      <c r="V385" s="1" t="s">
        <v>3767</v>
      </c>
      <c r="W385" s="1" t="s">
        <v>755</v>
      </c>
      <c r="X385" s="1" t="s">
        <v>106</v>
      </c>
      <c r="Y385" s="1" t="s">
        <v>4765</v>
      </c>
      <c r="Z385" s="1">
        <v>100</v>
      </c>
      <c r="AA385" s="1" t="s">
        <v>132</v>
      </c>
      <c r="AB385" s="1" t="s">
        <v>117</v>
      </c>
      <c r="AC385" s="1" t="s">
        <v>118</v>
      </c>
      <c r="AD385" s="1">
        <v>92</v>
      </c>
      <c r="AE385" s="1" t="s">
        <v>132</v>
      </c>
      <c r="AF385" s="1">
        <v>36000</v>
      </c>
      <c r="AG385" s="1" t="s">
        <v>106</v>
      </c>
      <c r="AH385" s="1" t="s">
        <v>4766</v>
      </c>
      <c r="AI385" s="5" t="s">
        <v>4767</v>
      </c>
      <c r="AJ385" s="1">
        <v>26</v>
      </c>
      <c r="AK385" s="1" t="s">
        <v>530</v>
      </c>
      <c r="AL385" s="1" t="s">
        <v>4768</v>
      </c>
      <c r="AM385" s="1" t="s">
        <v>4769</v>
      </c>
      <c r="AN385" s="1" t="s">
        <v>4768</v>
      </c>
      <c r="AO385" s="1" t="s">
        <v>113</v>
      </c>
      <c r="AP385" s="1" t="s">
        <v>113</v>
      </c>
      <c r="AQ385" s="1" t="s">
        <v>114</v>
      </c>
      <c r="AR385" s="1" t="s">
        <v>114</v>
      </c>
      <c r="AS385" s="1" t="s">
        <v>114</v>
      </c>
      <c r="AT385" s="1" t="s">
        <v>123</v>
      </c>
      <c r="AU385" s="1" t="s">
        <v>113</v>
      </c>
      <c r="AV385" s="1" t="s">
        <v>106</v>
      </c>
      <c r="AW385" s="1" t="s">
        <v>124</v>
      </c>
      <c r="AY385" s="1">
        <v>0</v>
      </c>
      <c r="AZ385" s="1" t="s">
        <v>113</v>
      </c>
      <c r="BA385" s="1" t="s">
        <v>113</v>
      </c>
      <c r="BB385" s="1" t="s">
        <v>125</v>
      </c>
      <c r="BC385" s="1" t="s">
        <v>166</v>
      </c>
      <c r="BD385" s="1">
        <v>0</v>
      </c>
      <c r="BE385" s="1">
        <v>100</v>
      </c>
      <c r="BF385" s="1" t="s">
        <v>1206</v>
      </c>
      <c r="BG385" s="1" t="s">
        <v>780</v>
      </c>
      <c r="BH385" s="1" t="s">
        <v>168</v>
      </c>
      <c r="BI385" s="1" t="s">
        <v>269</v>
      </c>
      <c r="BJ385" s="1" t="s">
        <v>208</v>
      </c>
      <c r="BK385" s="1">
        <v>60</v>
      </c>
      <c r="BL385" s="1" t="s">
        <v>270</v>
      </c>
      <c r="BM385" s="1" t="s">
        <v>781</v>
      </c>
      <c r="BN385" s="1">
        <v>66</v>
      </c>
      <c r="BO385" s="1">
        <v>40</v>
      </c>
      <c r="BP385" s="1" t="s">
        <v>124</v>
      </c>
      <c r="BQ385" s="1" t="s">
        <v>114</v>
      </c>
      <c r="BR385" s="1" t="s">
        <v>4770</v>
      </c>
      <c r="BS385" s="1" t="s">
        <v>4771</v>
      </c>
      <c r="BT385" s="1" t="s">
        <v>172</v>
      </c>
      <c r="BU385" s="1" t="s">
        <v>239</v>
      </c>
      <c r="BV385" s="1" t="s">
        <v>594</v>
      </c>
      <c r="BW385" s="1" t="s">
        <v>134</v>
      </c>
      <c r="BX385" s="1" t="s">
        <v>135</v>
      </c>
      <c r="BY385" s="1" t="s">
        <v>135</v>
      </c>
      <c r="BZ385" s="1" t="s">
        <v>4772</v>
      </c>
      <c r="CA385" s="1">
        <v>34574</v>
      </c>
      <c r="CB385" s="1" t="s">
        <v>244</v>
      </c>
      <c r="CC385" s="1" t="s">
        <v>217</v>
      </c>
      <c r="CD385" s="1" t="s">
        <v>4773</v>
      </c>
      <c r="CE385" s="1" t="s">
        <v>219</v>
      </c>
      <c r="CF385" s="1" t="s">
        <v>4774</v>
      </c>
      <c r="CG385" s="1" t="s">
        <v>4775</v>
      </c>
      <c r="CH385" s="1" t="s">
        <v>4776</v>
      </c>
      <c r="CI385" s="1">
        <v>0</v>
      </c>
      <c r="CJ385" s="1" t="s">
        <v>4777</v>
      </c>
      <c r="CK385" s="1" t="s">
        <v>4778</v>
      </c>
      <c r="CL385" s="1" t="s">
        <v>4779</v>
      </c>
      <c r="CM385" s="1">
        <v>0</v>
      </c>
      <c r="CN385" s="1">
        <v>0</v>
      </c>
      <c r="CO385" s="1">
        <v>0</v>
      </c>
      <c r="CP385" s="1">
        <v>0</v>
      </c>
      <c r="CQ385" s="1">
        <v>0</v>
      </c>
      <c r="CR385" s="1" t="s">
        <v>139</v>
      </c>
      <c r="CS385" s="1" t="s">
        <v>140</v>
      </c>
      <c r="CT385" s="1" t="s">
        <v>4780</v>
      </c>
      <c r="CU385" s="1" t="s">
        <v>821</v>
      </c>
      <c r="CV385" s="1" t="s">
        <v>1198</v>
      </c>
      <c r="CW385" s="1" t="s">
        <v>141</v>
      </c>
      <c r="CX385" s="1" t="s">
        <v>4781</v>
      </c>
      <c r="CY385" s="1" t="s">
        <v>143</v>
      </c>
      <c r="CZ385" s="1" t="s">
        <v>144</v>
      </c>
      <c r="DA385" s="1" t="s">
        <v>145</v>
      </c>
    </row>
    <row r="386" spans="1:105" s="3" customFormat="1" ht="11.25" customHeight="1" x14ac:dyDescent="0.2">
      <c r="A386" s="3">
        <v>41</v>
      </c>
      <c r="B386" s="3" t="s">
        <v>4783</v>
      </c>
      <c r="C386" s="3" t="s">
        <v>4782</v>
      </c>
      <c r="D386" s="3">
        <v>8495</v>
      </c>
      <c r="E386" s="2" t="s">
        <v>4201</v>
      </c>
      <c r="F386" s="1" t="s">
        <v>106</v>
      </c>
      <c r="G386" s="1" t="s">
        <v>1664</v>
      </c>
      <c r="H386" s="1" t="s">
        <v>2372</v>
      </c>
      <c r="I386" s="1" t="s">
        <v>4784</v>
      </c>
      <c r="J386" s="1" t="s">
        <v>106</v>
      </c>
      <c r="K386" s="1" t="s">
        <v>2372</v>
      </c>
      <c r="L386" s="1" t="s">
        <v>149</v>
      </c>
      <c r="M386" s="1" t="s">
        <v>4785</v>
      </c>
      <c r="N386" s="1" t="s">
        <v>4333</v>
      </c>
      <c r="O386" s="1" t="s">
        <v>113</v>
      </c>
      <c r="P386" s="1" t="s">
        <v>113</v>
      </c>
      <c r="Q386" s="1" t="s">
        <v>195</v>
      </c>
      <c r="R386" s="1" t="s">
        <v>4786</v>
      </c>
      <c r="S386" s="1" t="s">
        <v>4786</v>
      </c>
      <c r="T386" s="1" t="s">
        <v>106</v>
      </c>
      <c r="U386" s="1" t="s">
        <v>4787</v>
      </c>
      <c r="V386" s="1" t="s">
        <v>2950</v>
      </c>
      <c r="W386" s="1" t="s">
        <v>199</v>
      </c>
      <c r="X386" s="1" t="s">
        <v>106</v>
      </c>
      <c r="Y386" s="1" t="s">
        <v>4785</v>
      </c>
      <c r="Z386" s="1">
        <v>100</v>
      </c>
      <c r="AA386" s="1" t="s">
        <v>116</v>
      </c>
      <c r="AB386" s="1" t="s">
        <v>128</v>
      </c>
      <c r="AC386" s="1" t="s">
        <v>118</v>
      </c>
      <c r="AD386" s="1">
        <v>80</v>
      </c>
      <c r="AE386" s="1" t="s">
        <v>116</v>
      </c>
      <c r="AF386" s="1">
        <v>1050</v>
      </c>
      <c r="AG386" s="1" t="s">
        <v>113</v>
      </c>
      <c r="AH386" s="1">
        <v>60</v>
      </c>
      <c r="AI386" s="1">
        <v>30</v>
      </c>
      <c r="AJ386" s="1">
        <v>10</v>
      </c>
      <c r="AK386" s="1" t="s">
        <v>318</v>
      </c>
      <c r="AM386" s="1" t="s">
        <v>4788</v>
      </c>
      <c r="AO386" s="1" t="s">
        <v>113</v>
      </c>
      <c r="AP386" s="1" t="s">
        <v>113</v>
      </c>
      <c r="AQ386" s="1" t="s">
        <v>564</v>
      </c>
      <c r="AR386" s="1" t="s">
        <v>564</v>
      </c>
      <c r="AS386" s="1" t="s">
        <v>564</v>
      </c>
      <c r="AT386" s="1" t="s">
        <v>123</v>
      </c>
      <c r="AU386" s="1" t="s">
        <v>113</v>
      </c>
      <c r="AV386" s="1" t="s">
        <v>113</v>
      </c>
      <c r="AW386" s="1" t="s">
        <v>164</v>
      </c>
      <c r="AX386" s="1" t="s">
        <v>165</v>
      </c>
      <c r="AY386" s="1">
        <v>0</v>
      </c>
      <c r="AZ386" s="1" t="s">
        <v>106</v>
      </c>
      <c r="BA386" s="1" t="s">
        <v>113</v>
      </c>
      <c r="BB386" s="1" t="s">
        <v>125</v>
      </c>
      <c r="BC386" s="1" t="s">
        <v>166</v>
      </c>
      <c r="BD386" s="1">
        <v>0</v>
      </c>
      <c r="BE386" s="1">
        <v>100</v>
      </c>
      <c r="BF386" s="1" t="s">
        <v>167</v>
      </c>
      <c r="BG386" s="1" t="s">
        <v>116</v>
      </c>
      <c r="BJ386" s="1" t="s">
        <v>208</v>
      </c>
      <c r="BK386" s="1">
        <v>80</v>
      </c>
      <c r="BL386" s="1" t="s">
        <v>167</v>
      </c>
      <c r="BM386" s="1" t="s">
        <v>210</v>
      </c>
      <c r="BN386" s="1" t="s">
        <v>143</v>
      </c>
      <c r="BP386" s="1" t="s">
        <v>115</v>
      </c>
      <c r="BQ386" s="1" t="s">
        <v>2372</v>
      </c>
      <c r="BR386" s="1" t="s">
        <v>4789</v>
      </c>
      <c r="BS386" s="1" t="s">
        <v>4790</v>
      </c>
      <c r="BT386" s="1" t="s">
        <v>172</v>
      </c>
      <c r="BU386" s="1" t="s">
        <v>632</v>
      </c>
      <c r="BV386" s="1" t="s">
        <v>4791</v>
      </c>
      <c r="BW386" s="1" t="s">
        <v>134</v>
      </c>
      <c r="BX386" s="1" t="s">
        <v>564</v>
      </c>
      <c r="BY386" s="1" t="s">
        <v>135</v>
      </c>
      <c r="BZ386" s="1" t="s">
        <v>564</v>
      </c>
      <c r="CA386" s="1">
        <v>1045</v>
      </c>
      <c r="CB386" s="1" t="s">
        <v>176</v>
      </c>
      <c r="CC386" s="1" t="s">
        <v>301</v>
      </c>
      <c r="CD386" s="1" t="s">
        <v>4792</v>
      </c>
      <c r="CE386" s="1" t="s">
        <v>179</v>
      </c>
      <c r="CF386" s="1">
        <v>37968.949999999997</v>
      </c>
      <c r="CG386" s="1">
        <v>49414.38</v>
      </c>
      <c r="CH386" s="1">
        <v>36009</v>
      </c>
      <c r="CI386" s="1">
        <v>0</v>
      </c>
      <c r="CJ386" s="1">
        <v>12919</v>
      </c>
      <c r="CK386" s="1">
        <v>2880.21</v>
      </c>
      <c r="CL386" s="1">
        <v>0</v>
      </c>
      <c r="CM386" s="1">
        <v>0</v>
      </c>
      <c r="CN386" s="1">
        <v>0</v>
      </c>
      <c r="CO386" s="1">
        <v>0</v>
      </c>
      <c r="CP386" s="1">
        <v>0</v>
      </c>
      <c r="CQ386" s="1">
        <v>0</v>
      </c>
      <c r="CR386" s="1" t="s">
        <v>180</v>
      </c>
      <c r="CS386" s="1" t="s">
        <v>140</v>
      </c>
      <c r="CT386" s="1" t="s">
        <v>4793</v>
      </c>
      <c r="CW386" s="1" t="s">
        <v>251</v>
      </c>
      <c r="CX386" s="1" t="s">
        <v>564</v>
      </c>
      <c r="CY386" s="1" t="s">
        <v>143</v>
      </c>
      <c r="CZ386" s="1" t="s">
        <v>144</v>
      </c>
      <c r="DA386" s="1" t="s">
        <v>145</v>
      </c>
    </row>
    <row r="387" spans="1:105" s="3" customFormat="1" ht="11.25" customHeight="1" x14ac:dyDescent="0.2">
      <c r="A387" s="3">
        <v>41</v>
      </c>
      <c r="B387" s="3" t="s">
        <v>4795</v>
      </c>
      <c r="C387" s="3" t="s">
        <v>4794</v>
      </c>
      <c r="D387" s="3">
        <v>11197</v>
      </c>
      <c r="E387" s="2" t="s">
        <v>4201</v>
      </c>
      <c r="F387" s="1" t="s">
        <v>113</v>
      </c>
      <c r="G387" s="1" t="s">
        <v>190</v>
      </c>
      <c r="H387" s="1" t="s">
        <v>682</v>
      </c>
      <c r="I387" s="1" t="s">
        <v>229</v>
      </c>
      <c r="J387" s="1" t="s">
        <v>229</v>
      </c>
      <c r="L387" s="1" t="s">
        <v>111</v>
      </c>
      <c r="M387" s="5" t="s">
        <v>126</v>
      </c>
      <c r="N387" s="1" t="s">
        <v>2226</v>
      </c>
      <c r="O387" s="1" t="s">
        <v>106</v>
      </c>
      <c r="P387" s="1" t="s">
        <v>106</v>
      </c>
      <c r="Q387" s="1" t="s">
        <v>258</v>
      </c>
      <c r="R387" s="1" t="s">
        <v>4796</v>
      </c>
      <c r="S387" s="1" t="s">
        <v>4797</v>
      </c>
      <c r="T387" s="1" t="s">
        <v>106</v>
      </c>
      <c r="U387" s="1" t="s">
        <v>4798</v>
      </c>
      <c r="V387" s="1" t="s">
        <v>2212</v>
      </c>
      <c r="W387" s="1" t="s">
        <v>115</v>
      </c>
      <c r="X387" s="1" t="s">
        <v>113</v>
      </c>
      <c r="Z387" s="1">
        <v>100</v>
      </c>
      <c r="AA387" s="1" t="s">
        <v>132</v>
      </c>
      <c r="AB387" s="1" t="s">
        <v>128</v>
      </c>
      <c r="AC387" s="1" t="s">
        <v>118</v>
      </c>
      <c r="AD387" s="1">
        <v>35</v>
      </c>
      <c r="AE387" s="1" t="s">
        <v>132</v>
      </c>
      <c r="AF387" s="1">
        <v>1200</v>
      </c>
      <c r="AG387" s="1" t="s">
        <v>106</v>
      </c>
      <c r="AH387" s="1">
        <v>55</v>
      </c>
      <c r="AI387" s="1">
        <v>22</v>
      </c>
      <c r="AJ387" s="1">
        <v>21</v>
      </c>
      <c r="AK387" s="1" t="s">
        <v>119</v>
      </c>
      <c r="AM387" s="1" t="s">
        <v>4799</v>
      </c>
      <c r="AO387" s="1" t="s">
        <v>113</v>
      </c>
      <c r="AP387" s="1" t="s">
        <v>106</v>
      </c>
      <c r="AQ387" s="1" t="s">
        <v>4800</v>
      </c>
      <c r="AR387" s="1" t="s">
        <v>4801</v>
      </c>
      <c r="AS387" s="1" t="s">
        <v>4802</v>
      </c>
      <c r="AT387" s="1" t="s">
        <v>344</v>
      </c>
      <c r="AU387" s="1" t="s">
        <v>106</v>
      </c>
      <c r="AV387" s="1" t="s">
        <v>113</v>
      </c>
      <c r="AW387" s="1" t="s">
        <v>205</v>
      </c>
      <c r="AX387" s="1" t="s">
        <v>206</v>
      </c>
      <c r="AY387" s="1">
        <v>1100</v>
      </c>
      <c r="AZ387" s="1" t="s">
        <v>113</v>
      </c>
      <c r="BA387" s="1" t="s">
        <v>113</v>
      </c>
      <c r="BB387" s="1" t="s">
        <v>125</v>
      </c>
      <c r="BC387" s="1" t="s">
        <v>166</v>
      </c>
      <c r="BD387" s="1">
        <v>0</v>
      </c>
      <c r="BE387" s="1">
        <v>100</v>
      </c>
      <c r="BF387" s="1" t="s">
        <v>630</v>
      </c>
      <c r="BG387" s="1" t="s">
        <v>268</v>
      </c>
      <c r="BH387" s="1" t="s">
        <v>269</v>
      </c>
      <c r="BI387" s="1" t="s">
        <v>269</v>
      </c>
      <c r="BJ387" s="1" t="s">
        <v>384</v>
      </c>
      <c r="BK387" s="1">
        <v>80</v>
      </c>
      <c r="BL387" s="1" t="s">
        <v>294</v>
      </c>
      <c r="BM387" s="1" t="s">
        <v>271</v>
      </c>
      <c r="BN387" s="1">
        <v>12</v>
      </c>
      <c r="BP387" s="1" t="s">
        <v>115</v>
      </c>
      <c r="BQ387" s="1" t="s">
        <v>4803</v>
      </c>
      <c r="BR387" s="1" t="s">
        <v>4804</v>
      </c>
      <c r="BS387" s="1" t="s">
        <v>4805</v>
      </c>
      <c r="BT387" s="1" t="s">
        <v>172</v>
      </c>
      <c r="BU387" s="1" t="s">
        <v>132</v>
      </c>
      <c r="BV387" s="1" t="s">
        <v>174</v>
      </c>
      <c r="BW387" s="1" t="s">
        <v>134</v>
      </c>
      <c r="BX387" s="1" t="s">
        <v>4806</v>
      </c>
      <c r="BY387" s="1" t="s">
        <v>135</v>
      </c>
      <c r="BZ387" s="1" t="s">
        <v>4807</v>
      </c>
      <c r="CA387" s="1">
        <v>2500</v>
      </c>
      <c r="CB387" s="1" t="s">
        <v>176</v>
      </c>
      <c r="CC387" s="1" t="s">
        <v>4808</v>
      </c>
      <c r="CD387" s="1" t="s">
        <v>4809</v>
      </c>
      <c r="CE387" s="1" t="s">
        <v>219</v>
      </c>
      <c r="CF387" s="1" t="s">
        <v>4810</v>
      </c>
      <c r="CG387" s="1" t="s">
        <v>4811</v>
      </c>
      <c r="CH387" s="1">
        <v>480</v>
      </c>
      <c r="CI387" s="1">
        <v>0</v>
      </c>
      <c r="CJ387" s="1">
        <v>231</v>
      </c>
      <c r="CK387" s="1">
        <v>350</v>
      </c>
      <c r="CL387" s="1">
        <v>350</v>
      </c>
      <c r="CM387" s="1">
        <v>231</v>
      </c>
      <c r="CN387" s="1">
        <v>0</v>
      </c>
      <c r="CO387" s="1">
        <v>0</v>
      </c>
      <c r="CP387" s="1">
        <v>0</v>
      </c>
      <c r="CQ387" s="1">
        <v>0</v>
      </c>
      <c r="CR387" s="1" t="s">
        <v>139</v>
      </c>
      <c r="CS387" s="1" t="s">
        <v>140</v>
      </c>
      <c r="CT387" s="1" t="s">
        <v>459</v>
      </c>
      <c r="CU387" s="1" t="s">
        <v>617</v>
      </c>
      <c r="CV387" s="1" t="s">
        <v>4812</v>
      </c>
      <c r="CW387" s="1" t="s">
        <v>284</v>
      </c>
      <c r="CX387" s="1" t="s">
        <v>4813</v>
      </c>
      <c r="CY387" s="1" t="s">
        <v>4814</v>
      </c>
      <c r="CZ387" s="1" t="s">
        <v>144</v>
      </c>
      <c r="DA387" s="1" t="s">
        <v>145</v>
      </c>
    </row>
    <row r="388" spans="1:105" s="3" customFormat="1" ht="11.25" customHeight="1" x14ac:dyDescent="0.2">
      <c r="A388" s="3">
        <v>41</v>
      </c>
      <c r="B388" s="3" t="s">
        <v>4816</v>
      </c>
      <c r="C388" s="3" t="s">
        <v>4815</v>
      </c>
      <c r="D388" s="3">
        <v>8204</v>
      </c>
      <c r="E388" s="2" t="s">
        <v>4201</v>
      </c>
      <c r="F388" s="1" t="s">
        <v>113</v>
      </c>
      <c r="G388" s="1" t="s">
        <v>190</v>
      </c>
      <c r="H388" s="1" t="s">
        <v>948</v>
      </c>
      <c r="I388" s="1" t="s">
        <v>229</v>
      </c>
      <c r="J388" s="1" t="s">
        <v>113</v>
      </c>
      <c r="L388" s="1" t="s">
        <v>111</v>
      </c>
      <c r="M388" s="1" t="s">
        <v>191</v>
      </c>
      <c r="N388" s="1" t="s">
        <v>112</v>
      </c>
      <c r="O388" s="1" t="s">
        <v>106</v>
      </c>
      <c r="P388" s="1" t="s">
        <v>113</v>
      </c>
      <c r="Q388" s="1" t="s">
        <v>1298</v>
      </c>
      <c r="R388" s="1" t="s">
        <v>157</v>
      </c>
      <c r="S388" s="1" t="s">
        <v>157</v>
      </c>
      <c r="T388" s="1" t="s">
        <v>113</v>
      </c>
      <c r="U388" s="1" t="s">
        <v>4817</v>
      </c>
      <c r="W388" s="1" t="s">
        <v>115</v>
      </c>
      <c r="X388" s="1" t="s">
        <v>113</v>
      </c>
      <c r="Y388" s="1" t="s">
        <v>1263</v>
      </c>
      <c r="Z388" s="1">
        <v>100</v>
      </c>
      <c r="AA388" s="1" t="s">
        <v>132</v>
      </c>
      <c r="AB388" s="1" t="s">
        <v>128</v>
      </c>
      <c r="AC388" s="1" t="s">
        <v>128</v>
      </c>
      <c r="AD388" s="1">
        <v>0</v>
      </c>
      <c r="AE388" s="1" t="s">
        <v>948</v>
      </c>
      <c r="AF388" s="1">
        <v>1560</v>
      </c>
      <c r="AG388" s="1" t="s">
        <v>113</v>
      </c>
      <c r="AH388" s="1">
        <v>0</v>
      </c>
      <c r="AI388" s="1">
        <v>0</v>
      </c>
      <c r="AJ388" s="1">
        <v>0</v>
      </c>
      <c r="AK388" s="1" t="s">
        <v>408</v>
      </c>
      <c r="AL388" s="1">
        <v>270</v>
      </c>
      <c r="AM388" s="1" t="s">
        <v>4818</v>
      </c>
      <c r="AN388" s="1">
        <v>0</v>
      </c>
      <c r="AP388" s="1" t="s">
        <v>113</v>
      </c>
      <c r="AQ388" s="1" t="s">
        <v>1263</v>
      </c>
      <c r="AR388" s="1" t="s">
        <v>157</v>
      </c>
      <c r="AS388" s="1" t="s">
        <v>157</v>
      </c>
      <c r="AT388" s="1" t="s">
        <v>123</v>
      </c>
      <c r="AU388" s="1" t="s">
        <v>106</v>
      </c>
      <c r="AV388" s="1" t="s">
        <v>113</v>
      </c>
      <c r="AW388" s="1" t="s">
        <v>164</v>
      </c>
      <c r="AX388" s="1" t="s">
        <v>4358</v>
      </c>
      <c r="AY388" s="1">
        <v>50</v>
      </c>
      <c r="AZ388" s="1" t="s">
        <v>113</v>
      </c>
      <c r="BA388" s="1" t="s">
        <v>113</v>
      </c>
      <c r="BB388" s="1" t="s">
        <v>125</v>
      </c>
      <c r="BD388" s="1">
        <v>0</v>
      </c>
      <c r="BE388" s="1">
        <v>100</v>
      </c>
      <c r="BF388" s="1" t="s">
        <v>1206</v>
      </c>
      <c r="BG388" s="1" t="s">
        <v>1188</v>
      </c>
      <c r="BH388" s="1" t="s">
        <v>269</v>
      </c>
      <c r="BI388" s="1" t="s">
        <v>269</v>
      </c>
      <c r="BJ388" s="1" t="s">
        <v>208</v>
      </c>
      <c r="BK388" s="1">
        <v>40</v>
      </c>
      <c r="BL388" s="1" t="s">
        <v>533</v>
      </c>
      <c r="BM388" s="1" t="s">
        <v>271</v>
      </c>
      <c r="BN388" s="5" t="s">
        <v>4819</v>
      </c>
      <c r="BO388" s="1">
        <v>0</v>
      </c>
      <c r="BP388" s="1" t="s">
        <v>115</v>
      </c>
      <c r="BQ388" s="1" t="s">
        <v>4820</v>
      </c>
      <c r="BR388" s="1" t="s">
        <v>4821</v>
      </c>
      <c r="BS388" s="1" t="s">
        <v>816</v>
      </c>
      <c r="BT388" s="1" t="s">
        <v>172</v>
      </c>
      <c r="BU388" s="1" t="s">
        <v>132</v>
      </c>
      <c r="BV388" s="1" t="s">
        <v>4822</v>
      </c>
      <c r="BW388" s="1" t="s">
        <v>134</v>
      </c>
      <c r="BX388" s="1" t="s">
        <v>4823</v>
      </c>
      <c r="BY388" s="1" t="s">
        <v>135</v>
      </c>
      <c r="BZ388" s="1" t="s">
        <v>1263</v>
      </c>
      <c r="CA388" s="1">
        <v>1560</v>
      </c>
      <c r="CB388" s="1" t="s">
        <v>244</v>
      </c>
      <c r="CC388" s="1" t="s">
        <v>217</v>
      </c>
      <c r="CE388" s="1" t="s">
        <v>219</v>
      </c>
      <c r="CF388" s="5" t="s">
        <v>220</v>
      </c>
      <c r="CG388" s="6">
        <v>900000</v>
      </c>
      <c r="CH388" s="6">
        <v>840000</v>
      </c>
      <c r="CI388" s="5" t="s">
        <v>220</v>
      </c>
      <c r="CJ388" s="1">
        <v>176</v>
      </c>
      <c r="CK388" s="1">
        <v>270</v>
      </c>
      <c r="CL388" s="1">
        <v>270</v>
      </c>
      <c r="CM388" s="5" t="s">
        <v>220</v>
      </c>
      <c r="CN388" s="5" t="s">
        <v>220</v>
      </c>
      <c r="CO388" s="5" t="s">
        <v>220</v>
      </c>
      <c r="CP388" s="5" t="s">
        <v>220</v>
      </c>
      <c r="CQ388" s="5" t="s">
        <v>220</v>
      </c>
      <c r="CR388" s="1" t="s">
        <v>139</v>
      </c>
      <c r="CS388" s="1" t="s">
        <v>308</v>
      </c>
      <c r="CT388" s="1" t="s">
        <v>4824</v>
      </c>
      <c r="CV388" s="1" t="s">
        <v>310</v>
      </c>
      <c r="CW388" s="1" t="s">
        <v>284</v>
      </c>
      <c r="CX388" s="1" t="s">
        <v>4825</v>
      </c>
      <c r="CY388" s="1" t="s">
        <v>143</v>
      </c>
      <c r="CZ388" s="1" t="s">
        <v>144</v>
      </c>
      <c r="DA388" s="1" t="s">
        <v>145</v>
      </c>
    </row>
    <row r="389" spans="1:105" s="3" customFormat="1" ht="11.25" customHeight="1" x14ac:dyDescent="0.2">
      <c r="A389" s="3">
        <v>41</v>
      </c>
      <c r="B389" s="3" t="s">
        <v>4827</v>
      </c>
      <c r="C389" s="3" t="s">
        <v>4826</v>
      </c>
      <c r="D389" s="3">
        <v>14443</v>
      </c>
      <c r="E389" s="2" t="s">
        <v>4201</v>
      </c>
      <c r="F389" s="1" t="s">
        <v>106</v>
      </c>
      <c r="G389" s="1" t="s">
        <v>398</v>
      </c>
      <c r="H389" s="1" t="s">
        <v>3063</v>
      </c>
      <c r="I389" s="1" t="s">
        <v>4828</v>
      </c>
      <c r="J389" s="1" t="s">
        <v>113</v>
      </c>
      <c r="L389" s="1" t="s">
        <v>111</v>
      </c>
      <c r="M389" s="1" t="s">
        <v>113</v>
      </c>
      <c r="N389" s="1" t="s">
        <v>113</v>
      </c>
      <c r="O389" s="1" t="s">
        <v>113</v>
      </c>
      <c r="P389" s="1" t="s">
        <v>113</v>
      </c>
      <c r="Q389" s="1" t="s">
        <v>195</v>
      </c>
      <c r="R389" s="1" t="s">
        <v>4829</v>
      </c>
      <c r="S389" s="1" t="s">
        <v>965</v>
      </c>
      <c r="T389" s="1" t="s">
        <v>113</v>
      </c>
      <c r="U389" s="1" t="s">
        <v>290</v>
      </c>
      <c r="V389" s="1" t="s">
        <v>1263</v>
      </c>
      <c r="W389" s="1" t="s">
        <v>115</v>
      </c>
      <c r="X389" s="1" t="s">
        <v>113</v>
      </c>
      <c r="Y389" s="1" t="s">
        <v>290</v>
      </c>
      <c r="Z389" s="1">
        <v>100</v>
      </c>
      <c r="AA389" s="1" t="s">
        <v>116</v>
      </c>
      <c r="AB389" s="1" t="s">
        <v>117</v>
      </c>
      <c r="AC389" s="1" t="s">
        <v>128</v>
      </c>
      <c r="AD389" s="1">
        <v>0</v>
      </c>
      <c r="AE389" s="1" t="s">
        <v>116</v>
      </c>
      <c r="AF389" s="1">
        <v>1485</v>
      </c>
      <c r="AG389" s="1" t="s">
        <v>113</v>
      </c>
      <c r="AH389" s="1">
        <v>0</v>
      </c>
      <c r="AI389" s="1">
        <v>0</v>
      </c>
      <c r="AJ389" s="1">
        <v>0</v>
      </c>
      <c r="AK389" s="1" t="s">
        <v>408</v>
      </c>
      <c r="AL389" s="1">
        <v>600</v>
      </c>
      <c r="AM389" s="1" t="s">
        <v>120</v>
      </c>
      <c r="AN389" s="1">
        <v>600</v>
      </c>
      <c r="AO389" s="1" t="s">
        <v>113</v>
      </c>
      <c r="AP389" s="1" t="s">
        <v>106</v>
      </c>
      <c r="AQ389" s="1">
        <v>183220</v>
      </c>
      <c r="AR389" s="1" t="s">
        <v>4830</v>
      </c>
      <c r="AS389" s="1" t="s">
        <v>4831</v>
      </c>
      <c r="AT389" s="1" t="s">
        <v>759</v>
      </c>
      <c r="AU389" s="1" t="s">
        <v>106</v>
      </c>
      <c r="AV389" s="1" t="s">
        <v>113</v>
      </c>
      <c r="AW389" s="1" t="s">
        <v>234</v>
      </c>
      <c r="AX389" s="1" t="s">
        <v>760</v>
      </c>
      <c r="AY389" s="1">
        <v>300</v>
      </c>
      <c r="AZ389" s="1" t="s">
        <v>106</v>
      </c>
      <c r="BA389" s="1" t="s">
        <v>113</v>
      </c>
      <c r="BB389" s="1" t="s">
        <v>761</v>
      </c>
      <c r="BC389" s="1" t="s">
        <v>762</v>
      </c>
      <c r="BD389" s="1">
        <v>300</v>
      </c>
      <c r="BE389" s="1">
        <v>100</v>
      </c>
      <c r="BF389" s="1" t="s">
        <v>1206</v>
      </c>
      <c r="BG389" s="1" t="s">
        <v>116</v>
      </c>
      <c r="BH389" s="1" t="s">
        <v>169</v>
      </c>
      <c r="BI389" s="1" t="s">
        <v>169</v>
      </c>
      <c r="BJ389" s="1" t="s">
        <v>384</v>
      </c>
      <c r="BK389" s="1">
        <v>100</v>
      </c>
      <c r="BL389" s="1" t="s">
        <v>294</v>
      </c>
      <c r="BM389" s="1" t="s">
        <v>210</v>
      </c>
      <c r="BN389" s="5" t="s">
        <v>2993</v>
      </c>
      <c r="BO389" s="1">
        <v>0</v>
      </c>
      <c r="BP389" s="1" t="s">
        <v>115</v>
      </c>
      <c r="BQ389" s="1" t="s">
        <v>984</v>
      </c>
      <c r="BR389" s="1" t="s">
        <v>4832</v>
      </c>
      <c r="BS389" s="1" t="s">
        <v>4833</v>
      </c>
      <c r="BT389" s="1" t="s">
        <v>131</v>
      </c>
      <c r="BU389" s="1" t="s">
        <v>132</v>
      </c>
      <c r="BV389" s="1" t="s">
        <v>987</v>
      </c>
      <c r="BW389" s="1" t="s">
        <v>298</v>
      </c>
      <c r="BX389" s="1" t="s">
        <v>1669</v>
      </c>
      <c r="BY389" s="1" t="s">
        <v>299</v>
      </c>
      <c r="BZ389" s="1" t="s">
        <v>4834</v>
      </c>
      <c r="CA389" s="1">
        <v>1485</v>
      </c>
      <c r="CB389" s="1" t="s">
        <v>176</v>
      </c>
      <c r="CC389" s="1" t="s">
        <v>496</v>
      </c>
      <c r="CD389" s="1" t="s">
        <v>4835</v>
      </c>
      <c r="CE389" s="1" t="s">
        <v>478</v>
      </c>
      <c r="CF389" s="1">
        <v>261030</v>
      </c>
      <c r="CG389" s="1">
        <v>961590</v>
      </c>
      <c r="CH389" s="1" t="s">
        <v>4836</v>
      </c>
      <c r="CI389" s="1" t="s">
        <v>4837</v>
      </c>
      <c r="CJ389" s="1" t="s">
        <v>4838</v>
      </c>
      <c r="CK389" s="5" t="s">
        <v>4839</v>
      </c>
      <c r="CL389" s="5" t="s">
        <v>4840</v>
      </c>
      <c r="CM389" s="1" t="s">
        <v>2739</v>
      </c>
      <c r="CN389" s="1" t="s">
        <v>4841</v>
      </c>
      <c r="CO389" s="1">
        <v>43</v>
      </c>
      <c r="CP389" s="1" t="s">
        <v>4842</v>
      </c>
      <c r="CQ389" s="1">
        <v>43</v>
      </c>
      <c r="CR389" s="1" t="s">
        <v>418</v>
      </c>
      <c r="CS389" s="1" t="s">
        <v>140</v>
      </c>
      <c r="CT389" s="1" t="s">
        <v>394</v>
      </c>
      <c r="CV389" s="1" t="s">
        <v>250</v>
      </c>
      <c r="CW389" s="1" t="s">
        <v>184</v>
      </c>
      <c r="CX389" s="1" t="s">
        <v>4843</v>
      </c>
      <c r="CY389" s="1">
        <v>54678</v>
      </c>
      <c r="CZ389" s="1" t="s">
        <v>144</v>
      </c>
      <c r="DA389" s="1" t="s">
        <v>145</v>
      </c>
    </row>
    <row r="390" spans="1:105" s="3" customFormat="1" ht="11.25" customHeight="1" x14ac:dyDescent="0.2">
      <c r="A390" s="3">
        <v>41</v>
      </c>
      <c r="B390" s="3" t="s">
        <v>4845</v>
      </c>
      <c r="C390" s="3" t="s">
        <v>4844</v>
      </c>
      <c r="D390" s="3">
        <v>25517</v>
      </c>
      <c r="E390" s="2" t="s">
        <v>4201</v>
      </c>
      <c r="F390" s="1" t="s">
        <v>113</v>
      </c>
      <c r="G390" s="1" t="s">
        <v>190</v>
      </c>
      <c r="H390" s="1" t="s">
        <v>840</v>
      </c>
      <c r="I390" s="1" t="s">
        <v>229</v>
      </c>
      <c r="J390" s="1" t="s">
        <v>229</v>
      </c>
      <c r="L390" s="1" t="s">
        <v>111</v>
      </c>
      <c r="M390" s="1" t="s">
        <v>111</v>
      </c>
      <c r="N390" s="1" t="s">
        <v>112</v>
      </c>
      <c r="O390" s="1" t="s">
        <v>113</v>
      </c>
      <c r="P390" s="1" t="s">
        <v>113</v>
      </c>
      <c r="Q390" s="1" t="s">
        <v>152</v>
      </c>
      <c r="R390" s="1" t="s">
        <v>4846</v>
      </c>
      <c r="S390" s="1" t="s">
        <v>4847</v>
      </c>
      <c r="T390" s="1" t="s">
        <v>106</v>
      </c>
      <c r="U390" s="1" t="s">
        <v>4848</v>
      </c>
      <c r="V390" s="1" t="s">
        <v>4849</v>
      </c>
      <c r="W390" s="1" t="s">
        <v>199</v>
      </c>
      <c r="X390" s="1" t="s">
        <v>113</v>
      </c>
      <c r="Y390" s="1" t="s">
        <v>114</v>
      </c>
      <c r="Z390" s="1">
        <v>100</v>
      </c>
      <c r="AA390" s="1" t="s">
        <v>132</v>
      </c>
      <c r="AB390" s="1" t="s">
        <v>158</v>
      </c>
      <c r="AC390" s="1" t="s">
        <v>118</v>
      </c>
      <c r="AD390" s="1">
        <v>30</v>
      </c>
      <c r="AE390" s="1" t="s">
        <v>132</v>
      </c>
      <c r="AF390" s="1">
        <v>3000</v>
      </c>
      <c r="AG390" s="1" t="s">
        <v>113</v>
      </c>
      <c r="AH390" s="1">
        <v>0</v>
      </c>
      <c r="AI390" s="1">
        <v>0</v>
      </c>
      <c r="AJ390" s="1">
        <v>0</v>
      </c>
      <c r="AK390" s="1" t="s">
        <v>408</v>
      </c>
      <c r="AL390" s="1">
        <v>2000</v>
      </c>
      <c r="AM390" s="1" t="s">
        <v>120</v>
      </c>
      <c r="AN390" s="1">
        <v>2000</v>
      </c>
      <c r="AO390" s="1" t="s">
        <v>113</v>
      </c>
      <c r="AP390" s="1" t="s">
        <v>113</v>
      </c>
      <c r="AQ390" s="1" t="s">
        <v>114</v>
      </c>
      <c r="AR390" s="1" t="s">
        <v>114</v>
      </c>
      <c r="AS390" s="1" t="s">
        <v>114</v>
      </c>
      <c r="AT390" s="1" t="s">
        <v>204</v>
      </c>
      <c r="AU390" s="1" t="s">
        <v>106</v>
      </c>
      <c r="AV390" s="1" t="s">
        <v>106</v>
      </c>
      <c r="AW390" s="1" t="s">
        <v>234</v>
      </c>
      <c r="AX390" s="1" t="s">
        <v>1113</v>
      </c>
      <c r="AY390" s="1">
        <v>3000</v>
      </c>
      <c r="AZ390" s="1" t="s">
        <v>113</v>
      </c>
      <c r="BA390" s="1" t="s">
        <v>113</v>
      </c>
      <c r="BB390" s="1" t="s">
        <v>125</v>
      </c>
      <c r="BC390" s="1" t="s">
        <v>166</v>
      </c>
      <c r="BD390" s="1">
        <v>0</v>
      </c>
      <c r="BE390" s="1">
        <v>100</v>
      </c>
      <c r="BF390" s="1" t="s">
        <v>167</v>
      </c>
      <c r="BG390" s="1" t="s">
        <v>132</v>
      </c>
      <c r="BH390" s="1" t="s">
        <v>168</v>
      </c>
      <c r="BI390" s="1" t="s">
        <v>269</v>
      </c>
      <c r="BJ390" s="1" t="s">
        <v>208</v>
      </c>
      <c r="BK390" s="1">
        <v>30</v>
      </c>
      <c r="BL390" s="1" t="s">
        <v>270</v>
      </c>
      <c r="BM390" s="1" t="s">
        <v>472</v>
      </c>
      <c r="BN390" s="1">
        <v>0</v>
      </c>
      <c r="BO390" s="1">
        <v>0</v>
      </c>
      <c r="BP390" s="1" t="s">
        <v>124</v>
      </c>
      <c r="BQ390" s="1" t="s">
        <v>4844</v>
      </c>
      <c r="BR390" s="1" t="s">
        <v>4850</v>
      </c>
      <c r="BS390" s="1" t="s">
        <v>4851</v>
      </c>
      <c r="BT390" s="1" t="s">
        <v>172</v>
      </c>
      <c r="BU390" s="1" t="s">
        <v>239</v>
      </c>
      <c r="BV390" s="1" t="s">
        <v>4852</v>
      </c>
      <c r="BW390" s="1" t="s">
        <v>134</v>
      </c>
      <c r="BX390" s="1" t="s">
        <v>135</v>
      </c>
      <c r="BY390" s="1" t="s">
        <v>135</v>
      </c>
      <c r="BZ390" s="1" t="s">
        <v>4853</v>
      </c>
      <c r="CA390" s="1">
        <v>3000</v>
      </c>
      <c r="CB390" s="1" t="s">
        <v>244</v>
      </c>
      <c r="CC390" s="1" t="s">
        <v>496</v>
      </c>
      <c r="CD390" s="1" t="s">
        <v>4854</v>
      </c>
      <c r="CE390" s="1" t="s">
        <v>478</v>
      </c>
      <c r="CF390" s="5" t="s">
        <v>126</v>
      </c>
      <c r="CG390" s="5" t="s">
        <v>126</v>
      </c>
      <c r="CH390" s="5" t="s">
        <v>126</v>
      </c>
      <c r="CI390" s="5" t="s">
        <v>126</v>
      </c>
      <c r="CJ390" s="5" t="s">
        <v>126</v>
      </c>
      <c r="CK390" s="5" t="s">
        <v>126</v>
      </c>
      <c r="CL390" s="5" t="s">
        <v>126</v>
      </c>
      <c r="CM390" s="5" t="s">
        <v>126</v>
      </c>
      <c r="CN390" s="5" t="s">
        <v>126</v>
      </c>
      <c r="CO390" s="5" t="s">
        <v>126</v>
      </c>
      <c r="CP390" s="5" t="s">
        <v>126</v>
      </c>
      <c r="CQ390" s="5" t="s">
        <v>126</v>
      </c>
      <c r="CR390" s="1" t="s">
        <v>139</v>
      </c>
      <c r="CS390" s="1" t="s">
        <v>140</v>
      </c>
      <c r="CT390" s="1" t="s">
        <v>4855</v>
      </c>
      <c r="CV390" s="1" t="s">
        <v>439</v>
      </c>
      <c r="CW390" s="1" t="s">
        <v>420</v>
      </c>
      <c r="CX390" s="1" t="s">
        <v>114</v>
      </c>
      <c r="CY390" s="1" t="s">
        <v>4856</v>
      </c>
      <c r="CZ390" s="1" t="s">
        <v>144</v>
      </c>
      <c r="DA390" s="1" t="s">
        <v>145</v>
      </c>
    </row>
    <row r="391" spans="1:105" s="3" customFormat="1" ht="11.25" customHeight="1" x14ac:dyDescent="0.2">
      <c r="A391" s="3">
        <v>41</v>
      </c>
      <c r="B391" s="3" t="s">
        <v>4858</v>
      </c>
      <c r="C391" s="3" t="s">
        <v>4857</v>
      </c>
      <c r="D391" s="3">
        <v>121972</v>
      </c>
      <c r="E391" s="2" t="s">
        <v>4201</v>
      </c>
      <c r="F391" s="1" t="s">
        <v>106</v>
      </c>
      <c r="G391" s="1" t="s">
        <v>4859</v>
      </c>
      <c r="H391" s="1" t="s">
        <v>4860</v>
      </c>
      <c r="I391" s="1" t="s">
        <v>193</v>
      </c>
      <c r="J391" s="1" t="s">
        <v>113</v>
      </c>
      <c r="L391" s="1" t="s">
        <v>149</v>
      </c>
      <c r="M391" s="1" t="s">
        <v>4861</v>
      </c>
      <c r="N391" s="1" t="s">
        <v>4862</v>
      </c>
      <c r="O391" s="1" t="s">
        <v>113</v>
      </c>
      <c r="P391" s="1" t="s">
        <v>106</v>
      </c>
      <c r="Q391" s="1" t="s">
        <v>195</v>
      </c>
      <c r="R391" s="1" t="s">
        <v>4863</v>
      </c>
      <c r="S391" s="1" t="s">
        <v>564</v>
      </c>
      <c r="T391" s="1" t="s">
        <v>106</v>
      </c>
      <c r="U391" s="1" t="s">
        <v>4864</v>
      </c>
      <c r="V391" s="1" t="s">
        <v>4865</v>
      </c>
      <c r="W391" s="1" t="s">
        <v>115</v>
      </c>
      <c r="X391" s="1" t="s">
        <v>113</v>
      </c>
      <c r="Y391" s="1" t="s">
        <v>564</v>
      </c>
      <c r="Z391" s="1">
        <v>100</v>
      </c>
      <c r="AA391" s="1" t="s">
        <v>159</v>
      </c>
      <c r="AB391" s="1" t="s">
        <v>128</v>
      </c>
      <c r="AC391" s="1" t="s">
        <v>118</v>
      </c>
      <c r="AD391" s="1">
        <v>20</v>
      </c>
      <c r="AE391" s="1" t="s">
        <v>116</v>
      </c>
      <c r="AF391" s="4">
        <v>2034</v>
      </c>
      <c r="AG391" s="1" t="s">
        <v>113</v>
      </c>
      <c r="AH391" s="1">
        <v>60</v>
      </c>
      <c r="AI391" s="1">
        <v>16</v>
      </c>
      <c r="AJ391" s="1">
        <v>24</v>
      </c>
      <c r="AK391" s="1" t="s">
        <v>119</v>
      </c>
      <c r="AM391" s="1" t="s">
        <v>4866</v>
      </c>
      <c r="AO391" s="1" t="s">
        <v>113</v>
      </c>
      <c r="AP391" s="1" t="s">
        <v>113</v>
      </c>
      <c r="AQ391" s="1" t="s">
        <v>4867</v>
      </c>
      <c r="AR391" s="1" t="s">
        <v>4867</v>
      </c>
      <c r="AS391" s="1" t="s">
        <v>4867</v>
      </c>
      <c r="AT391" s="1" t="s">
        <v>1752</v>
      </c>
      <c r="AU391" s="1" t="s">
        <v>106</v>
      </c>
      <c r="AV391" s="1" t="s">
        <v>113</v>
      </c>
      <c r="AW391" s="1" t="s">
        <v>234</v>
      </c>
      <c r="AX391" s="1" t="s">
        <v>490</v>
      </c>
      <c r="AY391" s="1" t="s">
        <v>4868</v>
      </c>
      <c r="AZ391" s="1" t="s">
        <v>113</v>
      </c>
      <c r="BA391" s="1" t="s">
        <v>113</v>
      </c>
      <c r="BB391" s="1" t="s">
        <v>125</v>
      </c>
      <c r="BC391" s="1" t="s">
        <v>166</v>
      </c>
      <c r="BD391" s="1">
        <v>0</v>
      </c>
      <c r="BE391" s="1">
        <v>100</v>
      </c>
      <c r="BF391" s="1" t="s">
        <v>167</v>
      </c>
      <c r="BG391" s="1" t="s">
        <v>116</v>
      </c>
      <c r="BJ391" s="1" t="s">
        <v>208</v>
      </c>
      <c r="BK391" s="1">
        <v>20</v>
      </c>
      <c r="BL391" s="1" t="s">
        <v>270</v>
      </c>
      <c r="BM391" s="1" t="s">
        <v>210</v>
      </c>
      <c r="BN391" s="1" t="s">
        <v>4869</v>
      </c>
      <c r="BO391" s="1" t="s">
        <v>4869</v>
      </c>
      <c r="BP391" s="1" t="s">
        <v>124</v>
      </c>
      <c r="BQ391" s="1" t="s">
        <v>4867</v>
      </c>
      <c r="BR391" s="1" t="s">
        <v>4870</v>
      </c>
      <c r="BS391" s="1" t="s">
        <v>4871</v>
      </c>
      <c r="BT391" s="1" t="s">
        <v>172</v>
      </c>
      <c r="BU391" s="1" t="s">
        <v>239</v>
      </c>
      <c r="BV391" s="1" t="s">
        <v>4872</v>
      </c>
      <c r="BW391" s="1" t="s">
        <v>134</v>
      </c>
      <c r="BX391" s="1" t="s">
        <v>4867</v>
      </c>
      <c r="BY391" s="1" t="s">
        <v>135</v>
      </c>
      <c r="BZ391" s="1" t="s">
        <v>4873</v>
      </c>
      <c r="CA391" s="4">
        <v>24405</v>
      </c>
      <c r="CB391" s="1" t="s">
        <v>244</v>
      </c>
      <c r="CC391" s="1" t="s">
        <v>658</v>
      </c>
      <c r="CD391" s="1" t="s">
        <v>4874</v>
      </c>
      <c r="CE391" s="1" t="s">
        <v>660</v>
      </c>
      <c r="CF391" s="1">
        <v>558037.91</v>
      </c>
      <c r="CG391" s="1">
        <v>1781074.97</v>
      </c>
      <c r="CH391" s="1">
        <v>998075.94</v>
      </c>
      <c r="CI391" s="1">
        <v>0</v>
      </c>
      <c r="CJ391" s="1">
        <v>771216.85</v>
      </c>
      <c r="CK391" s="1">
        <v>0</v>
      </c>
      <c r="CL391" s="1">
        <v>0</v>
      </c>
      <c r="CM391" s="1">
        <v>0</v>
      </c>
      <c r="CN391" s="1">
        <v>0</v>
      </c>
      <c r="CO391" s="1">
        <v>0</v>
      </c>
      <c r="CP391" s="1">
        <v>0</v>
      </c>
      <c r="CQ391" s="1">
        <v>0</v>
      </c>
      <c r="CR391" s="1" t="s">
        <v>180</v>
      </c>
      <c r="CS391" s="1" t="s">
        <v>140</v>
      </c>
      <c r="CT391" s="1" t="s">
        <v>4875</v>
      </c>
      <c r="CU391" s="1" t="s">
        <v>2238</v>
      </c>
      <c r="CV391" s="1" t="s">
        <v>310</v>
      </c>
      <c r="CW391" s="1" t="s">
        <v>251</v>
      </c>
      <c r="CX391" s="1" t="s">
        <v>114</v>
      </c>
      <c r="CY391" s="1" t="s">
        <v>114</v>
      </c>
      <c r="CZ391" s="1" t="s">
        <v>144</v>
      </c>
      <c r="DA391" s="1" t="s">
        <v>145</v>
      </c>
    </row>
    <row r="392" spans="1:105" s="3" customFormat="1" ht="11.25" customHeight="1" x14ac:dyDescent="0.2">
      <c r="A392" s="3">
        <v>41</v>
      </c>
      <c r="B392" s="3" t="s">
        <v>4877</v>
      </c>
      <c r="C392" s="3" t="s">
        <v>4876</v>
      </c>
      <c r="D392" s="3">
        <v>2121</v>
      </c>
      <c r="E392" s="2" t="s">
        <v>4201</v>
      </c>
      <c r="F392" s="1" t="s">
        <v>106</v>
      </c>
      <c r="G392" s="1" t="s">
        <v>254</v>
      </c>
      <c r="H392" s="1" t="s">
        <v>255</v>
      </c>
      <c r="I392" s="1" t="s">
        <v>4878</v>
      </c>
      <c r="J392" s="1" t="s">
        <v>113</v>
      </c>
      <c r="L392" s="1" t="s">
        <v>111</v>
      </c>
      <c r="M392" s="1" t="s">
        <v>111</v>
      </c>
      <c r="N392" s="1" t="s">
        <v>111</v>
      </c>
      <c r="O392" s="1" t="s">
        <v>113</v>
      </c>
      <c r="P392" s="1" t="s">
        <v>113</v>
      </c>
      <c r="Q392" s="1" t="s">
        <v>1298</v>
      </c>
      <c r="R392" s="1" t="s">
        <v>4879</v>
      </c>
      <c r="S392" s="1" t="s">
        <v>114</v>
      </c>
      <c r="T392" s="1" t="s">
        <v>106</v>
      </c>
      <c r="U392" s="1" t="s">
        <v>4880</v>
      </c>
      <c r="V392" s="1" t="s">
        <v>3514</v>
      </c>
      <c r="W392" s="1" t="s">
        <v>115</v>
      </c>
      <c r="X392" s="1" t="s">
        <v>113</v>
      </c>
      <c r="Y392" s="1" t="s">
        <v>114</v>
      </c>
      <c r="Z392" s="1">
        <v>100</v>
      </c>
      <c r="AA392" s="1" t="s">
        <v>116</v>
      </c>
      <c r="AB392" s="1" t="s">
        <v>128</v>
      </c>
      <c r="AC392" s="1" t="s">
        <v>118</v>
      </c>
      <c r="AD392" s="1">
        <v>50</v>
      </c>
      <c r="AE392" s="1" t="s">
        <v>116</v>
      </c>
      <c r="AF392" s="1" t="s">
        <v>4881</v>
      </c>
      <c r="AG392" s="1" t="s">
        <v>113</v>
      </c>
      <c r="AH392" s="1">
        <v>0</v>
      </c>
      <c r="AI392" s="1">
        <v>0</v>
      </c>
      <c r="AJ392" s="1">
        <v>0</v>
      </c>
      <c r="AK392" s="1" t="s">
        <v>232</v>
      </c>
      <c r="AL392" s="1">
        <v>900</v>
      </c>
      <c r="AM392" s="1" t="s">
        <v>4882</v>
      </c>
      <c r="AN392" s="1">
        <v>0</v>
      </c>
      <c r="AO392" s="1" t="s">
        <v>113</v>
      </c>
      <c r="AP392" s="1" t="s">
        <v>106</v>
      </c>
      <c r="AQ392" s="1" t="s">
        <v>4883</v>
      </c>
      <c r="AR392" s="1" t="s">
        <v>4884</v>
      </c>
      <c r="AS392" s="1" t="s">
        <v>4885</v>
      </c>
      <c r="AT392" s="1" t="s">
        <v>123</v>
      </c>
      <c r="AU392" s="1" t="s">
        <v>113</v>
      </c>
      <c r="AV392" s="1" t="s">
        <v>113</v>
      </c>
      <c r="AW392" s="1" t="s">
        <v>164</v>
      </c>
      <c r="AX392" s="1" t="s">
        <v>165</v>
      </c>
      <c r="AY392" s="1">
        <v>0</v>
      </c>
      <c r="AZ392" s="1" t="s">
        <v>113</v>
      </c>
      <c r="BA392" s="1" t="s">
        <v>113</v>
      </c>
      <c r="BB392" s="1" t="s">
        <v>125</v>
      </c>
      <c r="BC392" s="1" t="s">
        <v>166</v>
      </c>
      <c r="BD392" s="1">
        <v>0</v>
      </c>
      <c r="BE392" s="1">
        <v>100</v>
      </c>
      <c r="BF392" s="1" t="s">
        <v>167</v>
      </c>
      <c r="BG392" s="1" t="s">
        <v>116</v>
      </c>
      <c r="BH392" s="1" t="s">
        <v>168</v>
      </c>
      <c r="BI392" s="1" t="s">
        <v>569</v>
      </c>
      <c r="BJ392" s="1" t="s">
        <v>208</v>
      </c>
      <c r="BK392" s="1">
        <v>50</v>
      </c>
      <c r="BL392" s="1" t="s">
        <v>167</v>
      </c>
      <c r="BM392" s="1" t="s">
        <v>210</v>
      </c>
      <c r="BN392" s="1">
        <v>2</v>
      </c>
      <c r="BO392" s="1">
        <v>0</v>
      </c>
      <c r="BP392" s="1" t="s">
        <v>115</v>
      </c>
      <c r="BQ392" s="1" t="s">
        <v>3232</v>
      </c>
      <c r="BR392" s="1" t="s">
        <v>4886</v>
      </c>
      <c r="BS392" s="1" t="s">
        <v>4887</v>
      </c>
      <c r="BT392" s="1" t="s">
        <v>172</v>
      </c>
      <c r="BU392" s="1" t="s">
        <v>132</v>
      </c>
      <c r="BV392" s="1" t="s">
        <v>1028</v>
      </c>
      <c r="BW392" s="1" t="s">
        <v>298</v>
      </c>
      <c r="BX392" s="1" t="s">
        <v>325</v>
      </c>
      <c r="BY392" s="1" t="s">
        <v>299</v>
      </c>
      <c r="BZ392" s="1" t="s">
        <v>1117</v>
      </c>
      <c r="CA392" s="1" t="s">
        <v>4881</v>
      </c>
      <c r="CB392" s="1" t="s">
        <v>244</v>
      </c>
      <c r="CC392" s="1" t="s">
        <v>177</v>
      </c>
      <c r="CD392" s="1" t="s">
        <v>4888</v>
      </c>
      <c r="CE392" s="1" t="s">
        <v>179</v>
      </c>
      <c r="CF392" s="1">
        <v>31426.82</v>
      </c>
      <c r="CG392" s="1">
        <v>120817.29</v>
      </c>
      <c r="CH392" s="1">
        <v>21275.42</v>
      </c>
      <c r="CI392" s="1" t="s">
        <v>4889</v>
      </c>
      <c r="CJ392" s="1">
        <v>0</v>
      </c>
      <c r="CK392" s="1">
        <v>0</v>
      </c>
      <c r="CL392" s="1">
        <v>0</v>
      </c>
      <c r="CM392" s="1">
        <v>0</v>
      </c>
      <c r="CN392" s="1">
        <v>0</v>
      </c>
      <c r="CO392" s="1">
        <v>0</v>
      </c>
      <c r="CP392" s="1">
        <v>0</v>
      </c>
      <c r="CQ392" s="1">
        <v>0</v>
      </c>
      <c r="CR392" s="1" t="s">
        <v>4890</v>
      </c>
      <c r="CS392" s="1" t="s">
        <v>848</v>
      </c>
      <c r="CT392" s="1" t="s">
        <v>4891</v>
      </c>
      <c r="CV392" s="1" t="s">
        <v>4892</v>
      </c>
      <c r="CW392" s="1" t="s">
        <v>284</v>
      </c>
      <c r="CX392" s="1" t="s">
        <v>114</v>
      </c>
      <c r="CY392" s="1" t="s">
        <v>143</v>
      </c>
      <c r="CZ392" s="1" t="s">
        <v>144</v>
      </c>
      <c r="DA392" s="1" t="s">
        <v>145</v>
      </c>
    </row>
    <row r="393" spans="1:105" s="3" customFormat="1" ht="11.25" customHeight="1" x14ac:dyDescent="0.2">
      <c r="A393" s="3">
        <v>41</v>
      </c>
      <c r="B393" s="3" t="s">
        <v>4894</v>
      </c>
      <c r="C393" s="3" t="s">
        <v>4893</v>
      </c>
      <c r="D393" s="3">
        <v>10407</v>
      </c>
      <c r="E393" s="2" t="s">
        <v>4201</v>
      </c>
      <c r="F393" s="1" t="s">
        <v>113</v>
      </c>
      <c r="H393" s="1" t="s">
        <v>4895</v>
      </c>
      <c r="I393" s="1" t="s">
        <v>3008</v>
      </c>
      <c r="J393" s="1" t="s">
        <v>113</v>
      </c>
      <c r="L393" s="1" t="s">
        <v>111</v>
      </c>
      <c r="M393" s="1" t="s">
        <v>192</v>
      </c>
      <c r="N393" s="1" t="s">
        <v>112</v>
      </c>
      <c r="O393" s="1" t="s">
        <v>106</v>
      </c>
      <c r="P393" s="1" t="s">
        <v>113</v>
      </c>
      <c r="Q393" s="1" t="s">
        <v>111</v>
      </c>
      <c r="R393" s="1" t="s">
        <v>1157</v>
      </c>
      <c r="S393" s="1" t="s">
        <v>4896</v>
      </c>
      <c r="T393" s="1" t="s">
        <v>113</v>
      </c>
      <c r="U393" s="1" t="s">
        <v>157</v>
      </c>
      <c r="W393" s="1" t="s">
        <v>115</v>
      </c>
      <c r="X393" s="1" t="s">
        <v>113</v>
      </c>
      <c r="Z393" s="1">
        <v>100</v>
      </c>
      <c r="AA393" s="1" t="s">
        <v>132</v>
      </c>
      <c r="AB393" s="1" t="s">
        <v>128</v>
      </c>
      <c r="AC393" s="1" t="s">
        <v>128</v>
      </c>
      <c r="AD393" s="1">
        <v>0</v>
      </c>
      <c r="AE393" s="1" t="s">
        <v>159</v>
      </c>
      <c r="AF393" s="1">
        <v>4702</v>
      </c>
      <c r="AG393" s="1" t="s">
        <v>113</v>
      </c>
      <c r="AH393" s="1">
        <v>0</v>
      </c>
      <c r="AI393" s="1">
        <v>0</v>
      </c>
      <c r="AJ393" s="1">
        <v>0</v>
      </c>
      <c r="AK393" s="1" t="s">
        <v>119</v>
      </c>
      <c r="AM393" s="1" t="s">
        <v>4897</v>
      </c>
      <c r="AO393" s="1" t="s">
        <v>113</v>
      </c>
      <c r="AP393" s="1" t="s">
        <v>113</v>
      </c>
      <c r="AQ393" s="1" t="s">
        <v>157</v>
      </c>
      <c r="AR393" s="1" t="s">
        <v>157</v>
      </c>
      <c r="AS393" s="1" t="s">
        <v>157</v>
      </c>
      <c r="AT393" s="1" t="s">
        <v>123</v>
      </c>
      <c r="AU393" s="1" t="s">
        <v>113</v>
      </c>
      <c r="AV393" s="1" t="s">
        <v>113</v>
      </c>
      <c r="AW393" s="1" t="s">
        <v>164</v>
      </c>
      <c r="AX393" s="1" t="s">
        <v>165</v>
      </c>
      <c r="AY393" s="1">
        <v>0</v>
      </c>
      <c r="AZ393" s="1" t="s">
        <v>113</v>
      </c>
      <c r="BA393" s="1" t="s">
        <v>113</v>
      </c>
      <c r="BB393" s="1" t="s">
        <v>125</v>
      </c>
      <c r="BC393" s="1" t="s">
        <v>166</v>
      </c>
      <c r="BD393" s="1">
        <v>0</v>
      </c>
      <c r="BE393" s="1">
        <v>30</v>
      </c>
      <c r="BF393" s="1" t="s">
        <v>167</v>
      </c>
      <c r="BG393" s="1" t="s">
        <v>268</v>
      </c>
      <c r="BH393" s="1" t="s">
        <v>569</v>
      </c>
      <c r="BI393" s="1" t="s">
        <v>169</v>
      </c>
      <c r="BJ393" s="1" t="s">
        <v>128</v>
      </c>
      <c r="BK393" s="1">
        <v>0</v>
      </c>
      <c r="BL393" s="1" t="s">
        <v>127</v>
      </c>
      <c r="BM393" s="1" t="s">
        <v>114</v>
      </c>
      <c r="BN393" s="1" t="s">
        <v>276</v>
      </c>
      <c r="BP393" s="1" t="s">
        <v>115</v>
      </c>
      <c r="BQ393" s="1" t="s">
        <v>4898</v>
      </c>
      <c r="BR393" s="1" t="s">
        <v>4899</v>
      </c>
      <c r="BS393" s="1" t="s">
        <v>4900</v>
      </c>
      <c r="BT393" s="1" t="s">
        <v>172</v>
      </c>
      <c r="BU393" s="1" t="s">
        <v>132</v>
      </c>
      <c r="BV393" s="1" t="s">
        <v>3650</v>
      </c>
      <c r="BW393" s="1" t="s">
        <v>134</v>
      </c>
      <c r="BX393" s="1" t="s">
        <v>175</v>
      </c>
      <c r="BY393" s="1" t="s">
        <v>135</v>
      </c>
      <c r="BZ393" s="1" t="s">
        <v>4901</v>
      </c>
      <c r="CA393" s="1">
        <v>4702</v>
      </c>
      <c r="CB393" s="1" t="s">
        <v>244</v>
      </c>
      <c r="CC393" s="1" t="s">
        <v>217</v>
      </c>
      <c r="CD393" s="1" t="s">
        <v>4902</v>
      </c>
      <c r="CE393" s="1" t="s">
        <v>219</v>
      </c>
      <c r="CF393" s="1">
        <v>226039.7</v>
      </c>
      <c r="CG393" s="1">
        <v>1297566</v>
      </c>
      <c r="CH393" s="1">
        <v>1297566</v>
      </c>
      <c r="CI393" s="1">
        <v>0</v>
      </c>
      <c r="CJ393" s="1">
        <v>1297566</v>
      </c>
      <c r="CK393" s="1">
        <v>0</v>
      </c>
      <c r="CL393" s="1">
        <v>0</v>
      </c>
      <c r="CM393" s="1">
        <v>0</v>
      </c>
      <c r="CN393" s="1">
        <v>0</v>
      </c>
      <c r="CO393" s="1">
        <v>0</v>
      </c>
      <c r="CP393" s="1">
        <v>0</v>
      </c>
      <c r="CQ393" s="1">
        <v>0</v>
      </c>
      <c r="CR393" s="1" t="s">
        <v>139</v>
      </c>
      <c r="CS393" s="1" t="s">
        <v>140</v>
      </c>
      <c r="CT393" s="1" t="s">
        <v>157</v>
      </c>
      <c r="CV393" s="1" t="s">
        <v>439</v>
      </c>
      <c r="CW393" s="1" t="s">
        <v>251</v>
      </c>
      <c r="CX393" s="1" t="s">
        <v>157</v>
      </c>
      <c r="CY393" s="1" t="s">
        <v>143</v>
      </c>
      <c r="CZ393" s="1" t="s">
        <v>144</v>
      </c>
      <c r="DA393" s="1" t="s">
        <v>145</v>
      </c>
    </row>
    <row r="394" spans="1:105" s="3" customFormat="1" ht="11.25" customHeight="1" x14ac:dyDescent="0.2">
      <c r="A394" s="3">
        <v>41</v>
      </c>
      <c r="B394" s="3" t="s">
        <v>4904</v>
      </c>
      <c r="C394" s="3" t="s">
        <v>4903</v>
      </c>
      <c r="D394" s="3">
        <v>9779</v>
      </c>
      <c r="E394" s="2" t="s">
        <v>4201</v>
      </c>
      <c r="F394" s="1" t="s">
        <v>113</v>
      </c>
      <c r="G394" s="1" t="s">
        <v>190</v>
      </c>
      <c r="H394" s="1" t="s">
        <v>332</v>
      </c>
      <c r="I394" s="1" t="s">
        <v>229</v>
      </c>
      <c r="J394" s="1" t="s">
        <v>229</v>
      </c>
      <c r="L394" s="1" t="s">
        <v>111</v>
      </c>
      <c r="M394" s="1" t="s">
        <v>111</v>
      </c>
      <c r="N394" s="1" t="s">
        <v>4906</v>
      </c>
      <c r="O394" s="1" t="s">
        <v>113</v>
      </c>
      <c r="P394" s="1" t="s">
        <v>113</v>
      </c>
      <c r="Q394" s="1" t="s">
        <v>195</v>
      </c>
      <c r="R394" s="1" t="s">
        <v>4907</v>
      </c>
      <c r="S394" s="1" t="s">
        <v>1263</v>
      </c>
      <c r="T394" s="1" t="s">
        <v>106</v>
      </c>
      <c r="U394" s="1" t="s">
        <v>1263</v>
      </c>
      <c r="V394" s="1" t="s">
        <v>795</v>
      </c>
      <c r="W394" s="1" t="s">
        <v>115</v>
      </c>
      <c r="X394" s="1" t="s">
        <v>113</v>
      </c>
      <c r="Y394" s="1" t="s">
        <v>1263</v>
      </c>
      <c r="Z394" s="1">
        <v>100</v>
      </c>
      <c r="AA394" s="1" t="s">
        <v>116</v>
      </c>
      <c r="AB394" s="1" t="s">
        <v>128</v>
      </c>
      <c r="AC394" s="1" t="s">
        <v>128</v>
      </c>
      <c r="AD394" s="1">
        <v>0</v>
      </c>
      <c r="AE394" s="1" t="s">
        <v>157</v>
      </c>
      <c r="AF394" s="4">
        <v>1800</v>
      </c>
      <c r="AG394" s="1" t="s">
        <v>113</v>
      </c>
      <c r="AH394" s="5" t="s">
        <v>126</v>
      </c>
      <c r="AI394" s="5" t="s">
        <v>220</v>
      </c>
      <c r="AJ394" s="5" t="s">
        <v>220</v>
      </c>
      <c r="AK394" s="1" t="s">
        <v>408</v>
      </c>
      <c r="AL394" s="5" t="s">
        <v>220</v>
      </c>
      <c r="AM394" s="1" t="s">
        <v>172</v>
      </c>
      <c r="AN394" s="5" t="s">
        <v>220</v>
      </c>
      <c r="AO394" s="1" t="s">
        <v>113</v>
      </c>
      <c r="AP394" s="1" t="s">
        <v>113</v>
      </c>
      <c r="AQ394" s="1" t="s">
        <v>1263</v>
      </c>
      <c r="AR394" s="1" t="s">
        <v>1263</v>
      </c>
      <c r="AS394" s="1" t="s">
        <v>1263</v>
      </c>
      <c r="AT394" s="1" t="s">
        <v>123</v>
      </c>
      <c r="AU394" s="1" t="s">
        <v>113</v>
      </c>
      <c r="AV394" s="1" t="s">
        <v>113</v>
      </c>
      <c r="AW394" s="1" t="s">
        <v>164</v>
      </c>
      <c r="AX394" s="1" t="s">
        <v>165</v>
      </c>
      <c r="AY394" s="5" t="s">
        <v>220</v>
      </c>
      <c r="AZ394" s="1" t="s">
        <v>113</v>
      </c>
      <c r="BA394" s="1" t="s">
        <v>113</v>
      </c>
      <c r="BB394" s="1" t="s">
        <v>125</v>
      </c>
      <c r="BC394" s="1" t="s">
        <v>166</v>
      </c>
      <c r="BD394" s="5" t="s">
        <v>220</v>
      </c>
      <c r="BE394" s="1">
        <v>50</v>
      </c>
      <c r="BF394" s="1" t="s">
        <v>779</v>
      </c>
      <c r="BG394" s="1" t="s">
        <v>116</v>
      </c>
      <c r="BH394" s="1" t="s">
        <v>168</v>
      </c>
      <c r="BI394" s="1" t="s">
        <v>168</v>
      </c>
      <c r="BJ394" s="1" t="s">
        <v>208</v>
      </c>
      <c r="BK394" s="1">
        <v>20</v>
      </c>
      <c r="BL394" s="1" t="s">
        <v>270</v>
      </c>
      <c r="BM394" s="1" t="s">
        <v>210</v>
      </c>
      <c r="BN394" s="1" t="s">
        <v>4908</v>
      </c>
      <c r="BO394" s="1" t="s">
        <v>4908</v>
      </c>
      <c r="BP394" s="1" t="s">
        <v>124</v>
      </c>
      <c r="BQ394" s="1" t="s">
        <v>1892</v>
      </c>
      <c r="BR394" s="1" t="s">
        <v>1892</v>
      </c>
      <c r="BS394" s="1" t="s">
        <v>4909</v>
      </c>
      <c r="BT394" s="1" t="s">
        <v>172</v>
      </c>
      <c r="BU394" s="1" t="s">
        <v>239</v>
      </c>
      <c r="BV394" s="1" t="s">
        <v>4910</v>
      </c>
      <c r="BW394" s="1" t="s">
        <v>298</v>
      </c>
      <c r="BX394" s="1" t="s">
        <v>325</v>
      </c>
      <c r="BY394" s="1" t="s">
        <v>454</v>
      </c>
      <c r="BZ394" s="1" t="s">
        <v>157</v>
      </c>
      <c r="CA394" s="4">
        <v>1800</v>
      </c>
      <c r="CB394" s="1" t="s">
        <v>137</v>
      </c>
      <c r="CC394" s="1" t="s">
        <v>138</v>
      </c>
      <c r="CF394" s="5" t="s">
        <v>126</v>
      </c>
      <c r="CG394" s="5" t="s">
        <v>126</v>
      </c>
      <c r="CH394" s="1">
        <v>1080000</v>
      </c>
      <c r="CI394" s="5" t="s">
        <v>126</v>
      </c>
      <c r="CJ394" s="5" t="s">
        <v>126</v>
      </c>
      <c r="CK394" s="1">
        <v>1080000</v>
      </c>
      <c r="CL394" s="5" t="s">
        <v>126</v>
      </c>
      <c r="CM394" s="5" t="s">
        <v>126</v>
      </c>
      <c r="CN394" s="5" t="s">
        <v>126</v>
      </c>
      <c r="CO394" s="5" t="s">
        <v>126</v>
      </c>
      <c r="CP394" s="5" t="s">
        <v>220</v>
      </c>
      <c r="CQ394" s="5" t="s">
        <v>126</v>
      </c>
      <c r="CR394" s="1" t="s">
        <v>139</v>
      </c>
      <c r="CS394" s="1" t="s">
        <v>327</v>
      </c>
      <c r="CT394" s="1" t="s">
        <v>223</v>
      </c>
      <c r="CW394" s="1" t="s">
        <v>251</v>
      </c>
      <c r="CX394" s="1" t="s">
        <v>373</v>
      </c>
      <c r="CY394" s="1" t="s">
        <v>4911</v>
      </c>
      <c r="CZ394" s="1" t="s">
        <v>144</v>
      </c>
      <c r="DA394" s="1" t="s">
        <v>145</v>
      </c>
    </row>
    <row r="395" spans="1:105" s="3" customFormat="1" ht="11.25" customHeight="1" x14ac:dyDescent="0.2">
      <c r="A395" s="3">
        <v>41</v>
      </c>
      <c r="B395" s="3" t="s">
        <v>4912</v>
      </c>
      <c r="C395" s="3" t="s">
        <v>2835</v>
      </c>
      <c r="D395" s="3">
        <v>8227</v>
      </c>
      <c r="E395" s="2" t="s">
        <v>4201</v>
      </c>
      <c r="F395" s="1" t="s">
        <v>106</v>
      </c>
      <c r="G395" s="1" t="s">
        <v>1495</v>
      </c>
      <c r="H395" s="1" t="s">
        <v>4913</v>
      </c>
      <c r="I395" s="1" t="s">
        <v>4914</v>
      </c>
      <c r="J395" s="1" t="s">
        <v>113</v>
      </c>
      <c r="K395" s="1" t="s">
        <v>4915</v>
      </c>
      <c r="L395" s="1" t="s">
        <v>1943</v>
      </c>
      <c r="M395" s="7" t="s">
        <v>4916</v>
      </c>
      <c r="N395" s="1" t="s">
        <v>112</v>
      </c>
      <c r="O395" s="1" t="s">
        <v>106</v>
      </c>
      <c r="P395" s="1" t="s">
        <v>113</v>
      </c>
      <c r="Q395" s="1" t="s">
        <v>195</v>
      </c>
      <c r="R395" s="7" t="s">
        <v>4916</v>
      </c>
      <c r="S395" s="1" t="s">
        <v>127</v>
      </c>
      <c r="T395" s="1" t="s">
        <v>113</v>
      </c>
      <c r="U395" s="1" t="s">
        <v>127</v>
      </c>
      <c r="V395" s="1" t="s">
        <v>1762</v>
      </c>
      <c r="W395" s="1" t="s">
        <v>115</v>
      </c>
      <c r="X395" s="1" t="s">
        <v>113</v>
      </c>
      <c r="Y395" s="1" t="s">
        <v>127</v>
      </c>
      <c r="Z395" s="1">
        <v>100</v>
      </c>
      <c r="AA395" s="1" t="s">
        <v>116</v>
      </c>
      <c r="AB395" s="1" t="s">
        <v>128</v>
      </c>
      <c r="AC395" s="1" t="s">
        <v>118</v>
      </c>
      <c r="AD395" s="1">
        <v>30</v>
      </c>
      <c r="AE395" s="1" t="s">
        <v>116</v>
      </c>
      <c r="AF395" s="1">
        <v>2933</v>
      </c>
      <c r="AG395" s="1" t="s">
        <v>113</v>
      </c>
      <c r="AH395" s="1">
        <v>40</v>
      </c>
      <c r="AI395" s="1">
        <v>30</v>
      </c>
      <c r="AJ395" s="1">
        <v>30</v>
      </c>
      <c r="AK395" s="1" t="s">
        <v>1235</v>
      </c>
      <c r="AL395" s="1">
        <v>160</v>
      </c>
      <c r="AM395" s="1" t="s">
        <v>172</v>
      </c>
      <c r="AN395" s="1">
        <v>100</v>
      </c>
      <c r="AO395" s="1" t="s">
        <v>113</v>
      </c>
      <c r="AP395" s="1" t="s">
        <v>106</v>
      </c>
      <c r="AQ395" s="1" t="s">
        <v>4917</v>
      </c>
      <c r="AR395" s="1" t="s">
        <v>4918</v>
      </c>
      <c r="AS395" s="1" t="s">
        <v>4919</v>
      </c>
      <c r="AT395" s="1" t="s">
        <v>4920</v>
      </c>
      <c r="AU395" s="1" t="s">
        <v>106</v>
      </c>
      <c r="AV395" s="1" t="s">
        <v>113</v>
      </c>
      <c r="AW395" s="1" t="s">
        <v>124</v>
      </c>
      <c r="AX395" s="1" t="s">
        <v>1113</v>
      </c>
      <c r="AY395" s="1">
        <v>50</v>
      </c>
      <c r="AZ395" s="1" t="s">
        <v>113</v>
      </c>
      <c r="BA395" s="1" t="s">
        <v>113</v>
      </c>
      <c r="BB395" s="1" t="s">
        <v>125</v>
      </c>
      <c r="BC395" s="1" t="s">
        <v>166</v>
      </c>
      <c r="BD395" s="1">
        <v>0</v>
      </c>
      <c r="BE395" s="1">
        <v>100</v>
      </c>
      <c r="BF395" s="1" t="s">
        <v>167</v>
      </c>
      <c r="BG395" s="1" t="s">
        <v>383</v>
      </c>
      <c r="BH395" s="1" t="s">
        <v>269</v>
      </c>
      <c r="BI395" s="1" t="s">
        <v>269</v>
      </c>
      <c r="BJ395" s="1" t="s">
        <v>208</v>
      </c>
      <c r="BK395" s="1">
        <v>60</v>
      </c>
      <c r="BL395" s="1" t="s">
        <v>294</v>
      </c>
      <c r="BM395" s="1" t="s">
        <v>386</v>
      </c>
      <c r="BN395" s="1">
        <v>15</v>
      </c>
      <c r="BO395" s="1">
        <v>0</v>
      </c>
      <c r="BP395" s="1" t="s">
        <v>115</v>
      </c>
      <c r="BQ395" s="1" t="s">
        <v>4921</v>
      </c>
      <c r="BR395" s="1" t="s">
        <v>157</v>
      </c>
      <c r="BS395" s="1" t="s">
        <v>4922</v>
      </c>
      <c r="BT395" s="1" t="s">
        <v>172</v>
      </c>
      <c r="BU395" s="1" t="s">
        <v>132</v>
      </c>
      <c r="BV395" s="1" t="s">
        <v>4923</v>
      </c>
      <c r="BW395" s="1" t="s">
        <v>134</v>
      </c>
      <c r="BX395" s="1" t="s">
        <v>137</v>
      </c>
      <c r="BY395" s="1" t="s">
        <v>135</v>
      </c>
      <c r="BZ395" s="1" t="s">
        <v>127</v>
      </c>
      <c r="CA395" s="1">
        <v>0</v>
      </c>
      <c r="CB395" s="1" t="s">
        <v>176</v>
      </c>
      <c r="CC395" s="1" t="s">
        <v>301</v>
      </c>
      <c r="CD395" s="1" t="s">
        <v>4924</v>
      </c>
      <c r="CE395" s="1" t="s">
        <v>179</v>
      </c>
      <c r="CF395" s="1">
        <v>597675</v>
      </c>
      <c r="CG395" s="1">
        <v>1143945</v>
      </c>
      <c r="CH395" s="1">
        <v>342000</v>
      </c>
      <c r="CI395" s="1">
        <v>486000</v>
      </c>
      <c r="CJ395" s="1">
        <v>0</v>
      </c>
      <c r="CK395" s="1">
        <v>185000</v>
      </c>
      <c r="CL395" s="1">
        <v>65000</v>
      </c>
      <c r="CM395" s="1">
        <v>50000</v>
      </c>
      <c r="CN395" s="1">
        <v>50000</v>
      </c>
      <c r="CO395" s="1">
        <v>50000</v>
      </c>
      <c r="CP395" s="1">
        <v>0</v>
      </c>
      <c r="CQ395" s="1">
        <v>0</v>
      </c>
      <c r="CR395" s="1" t="s">
        <v>139</v>
      </c>
      <c r="CS395" s="1" t="s">
        <v>140</v>
      </c>
      <c r="CT395" s="1" t="s">
        <v>4925</v>
      </c>
      <c r="CV395" s="1" t="s">
        <v>4926</v>
      </c>
      <c r="CW395" s="1" t="s">
        <v>184</v>
      </c>
      <c r="CX395" s="1" t="s">
        <v>4919</v>
      </c>
      <c r="CY395" s="1" t="s">
        <v>143</v>
      </c>
      <c r="CZ395" s="1" t="s">
        <v>144</v>
      </c>
      <c r="DA395" s="1" t="s">
        <v>145</v>
      </c>
    </row>
    <row r="396" spans="1:105" s="3" customFormat="1" ht="11.25" customHeight="1" x14ac:dyDescent="0.2">
      <c r="A396" s="3">
        <v>41</v>
      </c>
      <c r="B396" s="3" t="s">
        <v>4928</v>
      </c>
      <c r="C396" s="3" t="s">
        <v>4927</v>
      </c>
      <c r="D396" s="3">
        <v>8051</v>
      </c>
      <c r="E396" s="2" t="s">
        <v>4201</v>
      </c>
      <c r="F396" s="1" t="s">
        <v>113</v>
      </c>
      <c r="G396" s="1" t="s">
        <v>190</v>
      </c>
      <c r="H396" s="1" t="s">
        <v>856</v>
      </c>
      <c r="I396" s="1" t="s">
        <v>229</v>
      </c>
      <c r="J396" s="1" t="s">
        <v>229</v>
      </c>
      <c r="L396" s="1" t="s">
        <v>111</v>
      </c>
      <c r="M396" s="1" t="s">
        <v>191</v>
      </c>
      <c r="N396" s="1" t="s">
        <v>112</v>
      </c>
      <c r="O396" s="1" t="s">
        <v>106</v>
      </c>
      <c r="P396" s="1" t="s">
        <v>113</v>
      </c>
      <c r="Q396" s="1" t="s">
        <v>195</v>
      </c>
      <c r="R396" s="7" t="s">
        <v>4929</v>
      </c>
      <c r="S396" s="7" t="s">
        <v>4930</v>
      </c>
      <c r="T396" s="1" t="s">
        <v>106</v>
      </c>
      <c r="U396" s="1" t="s">
        <v>157</v>
      </c>
      <c r="V396" s="1" t="s">
        <v>1910</v>
      </c>
      <c r="W396" s="1" t="s">
        <v>115</v>
      </c>
      <c r="X396" s="1" t="s">
        <v>113</v>
      </c>
      <c r="Y396" s="1" t="s">
        <v>157</v>
      </c>
      <c r="Z396" s="4">
        <v>52</v>
      </c>
      <c r="AA396" s="1" t="s">
        <v>116</v>
      </c>
      <c r="AB396" s="1" t="s">
        <v>128</v>
      </c>
      <c r="AC396" s="1" t="s">
        <v>128</v>
      </c>
      <c r="AD396" s="1">
        <v>0</v>
      </c>
      <c r="AE396" s="1" t="s">
        <v>116</v>
      </c>
      <c r="AF396" s="1">
        <v>2732</v>
      </c>
      <c r="AG396" s="1" t="s">
        <v>113</v>
      </c>
      <c r="AH396" s="1">
        <v>0</v>
      </c>
      <c r="AI396" s="1">
        <v>0</v>
      </c>
      <c r="AJ396" s="1">
        <v>0</v>
      </c>
      <c r="AK396" s="1" t="s">
        <v>648</v>
      </c>
      <c r="AL396" s="1">
        <v>0</v>
      </c>
      <c r="AM396" s="1" t="s">
        <v>172</v>
      </c>
      <c r="AN396" s="1">
        <v>0</v>
      </c>
      <c r="AO396" s="1" t="s">
        <v>113</v>
      </c>
      <c r="AP396" s="1" t="s">
        <v>113</v>
      </c>
      <c r="AQ396" s="1" t="s">
        <v>157</v>
      </c>
      <c r="AR396" s="1" t="s">
        <v>157</v>
      </c>
      <c r="AS396" s="1" t="s">
        <v>157</v>
      </c>
      <c r="AT396" s="1" t="s">
        <v>123</v>
      </c>
      <c r="AU396" s="1" t="s">
        <v>113</v>
      </c>
      <c r="AV396" s="1" t="s">
        <v>113</v>
      </c>
      <c r="AW396" s="1" t="s">
        <v>164</v>
      </c>
      <c r="AX396" s="1" t="s">
        <v>165</v>
      </c>
      <c r="AY396" s="1">
        <v>0</v>
      </c>
      <c r="AZ396" s="1" t="s">
        <v>113</v>
      </c>
      <c r="BA396" s="1" t="s">
        <v>113</v>
      </c>
      <c r="BB396" s="1" t="s">
        <v>125</v>
      </c>
      <c r="BC396" s="1" t="s">
        <v>166</v>
      </c>
      <c r="BD396" s="1">
        <v>0</v>
      </c>
      <c r="BE396" s="1">
        <v>0</v>
      </c>
      <c r="BF396" s="1" t="s">
        <v>127</v>
      </c>
      <c r="BG396" s="1" t="s">
        <v>127</v>
      </c>
      <c r="BH396" s="1" t="s">
        <v>168</v>
      </c>
      <c r="BI396" s="1" t="s">
        <v>168</v>
      </c>
      <c r="BJ396" s="1" t="s">
        <v>128</v>
      </c>
      <c r="BK396" s="1">
        <v>0</v>
      </c>
      <c r="BL396" s="1" t="s">
        <v>127</v>
      </c>
      <c r="BM396" s="1" t="s">
        <v>114</v>
      </c>
      <c r="BN396" s="1" t="s">
        <v>143</v>
      </c>
      <c r="BP396" s="1" t="s">
        <v>115</v>
      </c>
      <c r="BQ396" s="1" t="s">
        <v>4931</v>
      </c>
      <c r="BR396" s="1" t="s">
        <v>4932</v>
      </c>
      <c r="BS396" s="1" t="s">
        <v>4933</v>
      </c>
      <c r="BT396" s="1" t="s">
        <v>172</v>
      </c>
      <c r="BU396" s="1" t="s">
        <v>173</v>
      </c>
      <c r="BV396" s="1" t="s">
        <v>4934</v>
      </c>
      <c r="BW396" s="1" t="s">
        <v>134</v>
      </c>
      <c r="BX396" s="1" t="s">
        <v>137</v>
      </c>
      <c r="BY396" s="1" t="s">
        <v>135</v>
      </c>
      <c r="BZ396" s="1" t="s">
        <v>4935</v>
      </c>
      <c r="CA396" s="1">
        <v>0</v>
      </c>
      <c r="CB396" s="1" t="s">
        <v>216</v>
      </c>
      <c r="CC396" s="1" t="s">
        <v>217</v>
      </c>
      <c r="CE396" s="1" t="s">
        <v>219</v>
      </c>
      <c r="CF396" s="1">
        <v>0</v>
      </c>
      <c r="CG396" s="1">
        <v>0</v>
      </c>
      <c r="CH396" s="1">
        <v>0</v>
      </c>
      <c r="CI396" s="1">
        <v>0</v>
      </c>
      <c r="CJ396" s="1">
        <v>0</v>
      </c>
      <c r="CK396" s="1">
        <v>0</v>
      </c>
      <c r="CL396" s="1">
        <v>0</v>
      </c>
      <c r="CM396" s="1">
        <v>0</v>
      </c>
      <c r="CN396" s="1">
        <v>0</v>
      </c>
      <c r="CO396" s="1">
        <v>0</v>
      </c>
      <c r="CP396" s="1">
        <v>0</v>
      </c>
      <c r="CQ396" s="1">
        <v>0</v>
      </c>
      <c r="CR396" s="1" t="s">
        <v>139</v>
      </c>
      <c r="CS396" s="1" t="s">
        <v>308</v>
      </c>
      <c r="CT396" s="1" t="s">
        <v>223</v>
      </c>
      <c r="CW396" s="1" t="s">
        <v>284</v>
      </c>
      <c r="CX396" s="1" t="s">
        <v>127</v>
      </c>
      <c r="CY396" s="1" t="s">
        <v>143</v>
      </c>
      <c r="CZ396" s="1" t="s">
        <v>144</v>
      </c>
      <c r="DA396" s="1" t="s">
        <v>145</v>
      </c>
    </row>
    <row r="397" spans="1:105" s="3" customFormat="1" ht="11.25" customHeight="1" x14ac:dyDescent="0.2">
      <c r="A397" s="3">
        <v>41</v>
      </c>
      <c r="B397" s="3" t="s">
        <v>4937</v>
      </c>
      <c r="C397" s="3" t="s">
        <v>4936</v>
      </c>
      <c r="D397" s="3">
        <v>3842</v>
      </c>
      <c r="E397" s="2" t="s">
        <v>4201</v>
      </c>
      <c r="F397" s="1" t="s">
        <v>113</v>
      </c>
      <c r="G397" s="1" t="s">
        <v>4938</v>
      </c>
      <c r="H397" s="1" t="s">
        <v>4939</v>
      </c>
      <c r="I397" s="1" t="s">
        <v>256</v>
      </c>
      <c r="J397" s="1" t="s">
        <v>229</v>
      </c>
      <c r="K397" s="1" t="s">
        <v>4940</v>
      </c>
      <c r="L397" s="1" t="s">
        <v>111</v>
      </c>
      <c r="M397" s="1" t="s">
        <v>111</v>
      </c>
      <c r="N397" s="1" t="s">
        <v>112</v>
      </c>
      <c r="O397" s="1" t="s">
        <v>113</v>
      </c>
      <c r="P397" s="1" t="s">
        <v>113</v>
      </c>
      <c r="Q397" s="1" t="s">
        <v>111</v>
      </c>
      <c r="R397" s="1" t="s">
        <v>114</v>
      </c>
      <c r="S397" s="1" t="s">
        <v>114</v>
      </c>
      <c r="T397" s="1" t="s">
        <v>113</v>
      </c>
      <c r="U397" s="1" t="s">
        <v>4489</v>
      </c>
      <c r="V397" s="1" t="s">
        <v>3263</v>
      </c>
      <c r="W397" s="1" t="s">
        <v>115</v>
      </c>
      <c r="X397" s="1" t="s">
        <v>113</v>
      </c>
      <c r="Y397" s="1" t="s">
        <v>114</v>
      </c>
      <c r="Z397" s="1">
        <v>100</v>
      </c>
      <c r="AA397" s="1" t="s">
        <v>116</v>
      </c>
      <c r="AB397" s="1" t="s">
        <v>128</v>
      </c>
      <c r="AC397" s="1" t="s">
        <v>384</v>
      </c>
      <c r="AD397" s="1">
        <v>95</v>
      </c>
      <c r="AE397" s="1" t="s">
        <v>116</v>
      </c>
      <c r="AF397" s="1">
        <v>440640</v>
      </c>
      <c r="AG397" s="1" t="s">
        <v>113</v>
      </c>
      <c r="AH397" s="1">
        <v>60</v>
      </c>
      <c r="AI397" s="1">
        <v>30</v>
      </c>
      <c r="AJ397" s="1">
        <v>10</v>
      </c>
      <c r="AK397" s="1" t="s">
        <v>119</v>
      </c>
      <c r="AL397" s="5" t="s">
        <v>220</v>
      </c>
      <c r="AM397" s="1" t="s">
        <v>131</v>
      </c>
      <c r="AN397" s="1">
        <v>500</v>
      </c>
      <c r="AO397" s="1" t="s">
        <v>113</v>
      </c>
      <c r="AP397" s="1" t="s">
        <v>106</v>
      </c>
      <c r="AQ397" s="1" t="s">
        <v>114</v>
      </c>
      <c r="AR397" s="1" t="s">
        <v>4941</v>
      </c>
      <c r="AS397" s="1" t="s">
        <v>4942</v>
      </c>
      <c r="AT397" s="1" t="s">
        <v>628</v>
      </c>
      <c r="AU397" s="1" t="s">
        <v>113</v>
      </c>
      <c r="AV397" s="1" t="s">
        <v>106</v>
      </c>
      <c r="AW397" s="1" t="s">
        <v>164</v>
      </c>
      <c r="AX397" s="1" t="s">
        <v>165</v>
      </c>
      <c r="AY397" s="1">
        <v>250</v>
      </c>
      <c r="AZ397" s="1" t="s">
        <v>113</v>
      </c>
      <c r="BA397" s="1" t="s">
        <v>113</v>
      </c>
      <c r="BB397" s="1" t="s">
        <v>125</v>
      </c>
      <c r="BC397" s="1" t="s">
        <v>166</v>
      </c>
      <c r="BD397" s="1">
        <v>0</v>
      </c>
      <c r="BE397" s="1">
        <v>100</v>
      </c>
      <c r="BF397" s="1" t="s">
        <v>167</v>
      </c>
      <c r="BG397" s="1" t="s">
        <v>116</v>
      </c>
      <c r="BH397" s="1" t="s">
        <v>168</v>
      </c>
      <c r="BI397" s="1" t="s">
        <v>207</v>
      </c>
      <c r="BJ397" s="1" t="s">
        <v>384</v>
      </c>
      <c r="BK397" s="1">
        <v>90</v>
      </c>
      <c r="BL397" s="1" t="s">
        <v>270</v>
      </c>
      <c r="BM397" s="1" t="s">
        <v>210</v>
      </c>
      <c r="BN397" s="1" t="s">
        <v>114</v>
      </c>
      <c r="BO397" s="5" t="s">
        <v>4537</v>
      </c>
      <c r="BP397" s="1" t="s">
        <v>115</v>
      </c>
      <c r="BQ397" s="1" t="s">
        <v>2505</v>
      </c>
      <c r="BR397" s="1" t="s">
        <v>4943</v>
      </c>
      <c r="BS397" s="1" t="s">
        <v>4944</v>
      </c>
      <c r="BT397" s="1" t="s">
        <v>172</v>
      </c>
      <c r="BU397" s="1" t="s">
        <v>132</v>
      </c>
      <c r="BV397" s="1" t="s">
        <v>4236</v>
      </c>
      <c r="BW397" s="1" t="s">
        <v>134</v>
      </c>
      <c r="BX397" s="1" t="s">
        <v>4236</v>
      </c>
      <c r="BY397" s="1" t="s">
        <v>299</v>
      </c>
      <c r="BZ397" s="1" t="s">
        <v>4236</v>
      </c>
      <c r="CA397" s="1">
        <v>440640</v>
      </c>
      <c r="CB397" s="1" t="s">
        <v>137</v>
      </c>
      <c r="CC397" s="1" t="s">
        <v>138</v>
      </c>
      <c r="CD397" s="1" t="s">
        <v>4945</v>
      </c>
      <c r="CE397" s="1" t="s">
        <v>179</v>
      </c>
      <c r="CF397" s="5" t="s">
        <v>220</v>
      </c>
      <c r="CG397" s="1">
        <v>123000</v>
      </c>
      <c r="CH397" s="1">
        <v>37742</v>
      </c>
      <c r="CI397" s="5" t="s">
        <v>220</v>
      </c>
      <c r="CJ397" s="1">
        <v>123000</v>
      </c>
      <c r="CK397" s="5" t="s">
        <v>220</v>
      </c>
      <c r="CL397" s="5" t="s">
        <v>220</v>
      </c>
      <c r="CM397" s="5" t="s">
        <v>220</v>
      </c>
      <c r="CN397" s="1">
        <v>50000</v>
      </c>
      <c r="CO397" s="5" t="s">
        <v>220</v>
      </c>
      <c r="CP397" s="5" t="s">
        <v>220</v>
      </c>
      <c r="CQ397" s="5" t="s">
        <v>220</v>
      </c>
      <c r="CR397" s="1" t="s">
        <v>139</v>
      </c>
      <c r="CS397" s="1" t="s">
        <v>848</v>
      </c>
      <c r="CT397" s="1" t="s">
        <v>4946</v>
      </c>
      <c r="CU397" s="1" t="s">
        <v>4947</v>
      </c>
      <c r="CV397" s="1" t="s">
        <v>4948</v>
      </c>
      <c r="CW397" s="1" t="s">
        <v>251</v>
      </c>
      <c r="CX397" s="1" t="s">
        <v>114</v>
      </c>
      <c r="CY397" s="1" t="s">
        <v>143</v>
      </c>
      <c r="CZ397" s="1" t="s">
        <v>144</v>
      </c>
      <c r="DA397" s="1" t="s">
        <v>145</v>
      </c>
    </row>
    <row r="398" spans="1:105" s="3" customFormat="1" ht="11.25" customHeight="1" x14ac:dyDescent="0.2">
      <c r="A398" s="3">
        <v>41</v>
      </c>
      <c r="B398" s="3" t="s">
        <v>4950</v>
      </c>
      <c r="C398" s="3" t="s">
        <v>4949</v>
      </c>
      <c r="D398" s="3">
        <v>10280</v>
      </c>
      <c r="E398" s="2" t="s">
        <v>4201</v>
      </c>
      <c r="F398" s="1" t="s">
        <v>113</v>
      </c>
      <c r="G398" s="1" t="s">
        <v>190</v>
      </c>
      <c r="H398" s="1" t="s">
        <v>695</v>
      </c>
      <c r="I398" s="1" t="s">
        <v>193</v>
      </c>
      <c r="J398" s="1" t="s">
        <v>113</v>
      </c>
      <c r="L398" s="1" t="s">
        <v>111</v>
      </c>
      <c r="M398" s="1" t="s">
        <v>705</v>
      </c>
      <c r="N398" s="1" t="s">
        <v>4951</v>
      </c>
      <c r="O398" s="1" t="s">
        <v>113</v>
      </c>
      <c r="P398" s="1" t="s">
        <v>113</v>
      </c>
      <c r="Q398" s="1" t="s">
        <v>1298</v>
      </c>
      <c r="R398" s="1" t="s">
        <v>157</v>
      </c>
      <c r="S398" s="1" t="s">
        <v>157</v>
      </c>
      <c r="T398" s="1" t="s">
        <v>113</v>
      </c>
      <c r="U398" s="1" t="s">
        <v>157</v>
      </c>
      <c r="V398" s="1" t="s">
        <v>4952</v>
      </c>
      <c r="W398" s="1" t="s">
        <v>115</v>
      </c>
      <c r="X398" s="1" t="s">
        <v>113</v>
      </c>
      <c r="Y398" s="1" t="s">
        <v>157</v>
      </c>
      <c r="Z398" s="1">
        <v>5</v>
      </c>
      <c r="AA398" s="1" t="s">
        <v>132</v>
      </c>
      <c r="AB398" s="1" t="s">
        <v>128</v>
      </c>
      <c r="AC398" s="1" t="s">
        <v>128</v>
      </c>
      <c r="AD398" s="1">
        <v>0</v>
      </c>
      <c r="AE398" s="1" t="s">
        <v>157</v>
      </c>
      <c r="AF398" s="1">
        <v>50</v>
      </c>
      <c r="AG398" s="1" t="s">
        <v>106</v>
      </c>
      <c r="AH398" s="1">
        <v>70</v>
      </c>
      <c r="AI398" s="1">
        <v>30</v>
      </c>
      <c r="AJ398" s="1">
        <v>10</v>
      </c>
      <c r="AK398" s="1" t="s">
        <v>408</v>
      </c>
      <c r="AL398" s="1">
        <v>80</v>
      </c>
      <c r="AM398" s="1" t="s">
        <v>131</v>
      </c>
      <c r="AN398" s="1">
        <v>5</v>
      </c>
      <c r="AO398" s="1" t="s">
        <v>113</v>
      </c>
      <c r="AP398" s="1" t="s">
        <v>113</v>
      </c>
      <c r="AQ398" s="1" t="s">
        <v>157</v>
      </c>
      <c r="AR398" s="1" t="s">
        <v>157</v>
      </c>
      <c r="AS398" s="1" t="s">
        <v>157</v>
      </c>
      <c r="AT398" s="1" t="s">
        <v>123</v>
      </c>
      <c r="AU398" s="1" t="s">
        <v>106</v>
      </c>
      <c r="AV398" s="1" t="s">
        <v>113</v>
      </c>
      <c r="AW398" s="1" t="s">
        <v>124</v>
      </c>
      <c r="AX398" s="1" t="s">
        <v>165</v>
      </c>
      <c r="AY398" s="1">
        <v>2</v>
      </c>
      <c r="AZ398" s="1" t="s">
        <v>113</v>
      </c>
      <c r="BA398" s="1" t="s">
        <v>113</v>
      </c>
      <c r="BB398" s="1" t="s">
        <v>125</v>
      </c>
      <c r="BC398" s="1" t="s">
        <v>166</v>
      </c>
      <c r="BD398" s="1">
        <v>0</v>
      </c>
      <c r="BE398" s="1">
        <v>70</v>
      </c>
      <c r="BF398" s="1" t="s">
        <v>167</v>
      </c>
      <c r="BG398" s="1" t="s">
        <v>132</v>
      </c>
      <c r="BH398" s="1" t="s">
        <v>168</v>
      </c>
      <c r="BI398" s="1" t="s">
        <v>168</v>
      </c>
      <c r="BJ398" s="1" t="s">
        <v>128</v>
      </c>
      <c r="BK398" s="1">
        <v>0</v>
      </c>
      <c r="BL398" s="1" t="s">
        <v>127</v>
      </c>
      <c r="BM398" s="1" t="s">
        <v>114</v>
      </c>
      <c r="BN398" s="1">
        <v>25</v>
      </c>
      <c r="BO398" s="1">
        <v>5</v>
      </c>
      <c r="BP398" s="1" t="s">
        <v>115</v>
      </c>
      <c r="BQ398" s="1" t="s">
        <v>157</v>
      </c>
      <c r="BR398" s="1" t="s">
        <v>157</v>
      </c>
      <c r="BS398" s="1" t="s">
        <v>157</v>
      </c>
      <c r="BT398" s="1" t="s">
        <v>172</v>
      </c>
      <c r="BU398" s="1" t="s">
        <v>157</v>
      </c>
      <c r="BV398" s="1" t="s">
        <v>157</v>
      </c>
      <c r="BW398" s="1" t="s">
        <v>157</v>
      </c>
      <c r="BX398" s="1" t="s">
        <v>157</v>
      </c>
      <c r="BY398" s="1" t="s">
        <v>135</v>
      </c>
      <c r="BZ398" s="1" t="s">
        <v>157</v>
      </c>
      <c r="CA398" s="1">
        <v>80</v>
      </c>
      <c r="CB398" s="1" t="s">
        <v>176</v>
      </c>
      <c r="CC398" s="1" t="s">
        <v>177</v>
      </c>
      <c r="CD398" s="1" t="s">
        <v>157</v>
      </c>
      <c r="CE398" s="1" t="s">
        <v>3248</v>
      </c>
      <c r="CF398" s="1">
        <v>450000</v>
      </c>
      <c r="CG398" s="1">
        <v>1120000</v>
      </c>
      <c r="CH398" s="1">
        <v>250</v>
      </c>
      <c r="CI398" s="1">
        <v>100</v>
      </c>
      <c r="CJ398" s="1">
        <v>300</v>
      </c>
      <c r="CK398" s="1">
        <v>200</v>
      </c>
      <c r="CL398" s="1">
        <v>200</v>
      </c>
      <c r="CM398" s="1">
        <v>300</v>
      </c>
      <c r="CN398" s="1">
        <v>0</v>
      </c>
      <c r="CO398" s="1">
        <v>0</v>
      </c>
      <c r="CP398" s="1">
        <v>0</v>
      </c>
      <c r="CQ398" s="1">
        <v>0</v>
      </c>
      <c r="CR398" s="1" t="s">
        <v>139</v>
      </c>
      <c r="CS398" s="1" t="s">
        <v>140</v>
      </c>
      <c r="CT398" s="1" t="s">
        <v>4953</v>
      </c>
      <c r="CU398" s="1" t="s">
        <v>2572</v>
      </c>
      <c r="CV398" s="1" t="s">
        <v>4954</v>
      </c>
      <c r="CW398" s="1" t="s">
        <v>251</v>
      </c>
      <c r="CX398" s="1" t="s">
        <v>157</v>
      </c>
      <c r="CY398" s="1" t="s">
        <v>157</v>
      </c>
      <c r="CZ398" s="1" t="s">
        <v>144</v>
      </c>
      <c r="DA398" s="1" t="s">
        <v>145</v>
      </c>
    </row>
    <row r="399" spans="1:105" s="3" customFormat="1" ht="11.25" customHeight="1" x14ac:dyDescent="0.2">
      <c r="A399" s="3">
        <v>41</v>
      </c>
      <c r="B399" s="3" t="s">
        <v>4955</v>
      </c>
      <c r="C399" s="3" t="s">
        <v>4196</v>
      </c>
      <c r="D399" s="3">
        <v>19430</v>
      </c>
      <c r="E399" s="2" t="s">
        <v>4201</v>
      </c>
      <c r="F399" s="1" t="s">
        <v>113</v>
      </c>
      <c r="G399" s="1" t="s">
        <v>190</v>
      </c>
      <c r="H399" s="1" t="s">
        <v>3069</v>
      </c>
      <c r="I399" s="1" t="s">
        <v>193</v>
      </c>
      <c r="J399" s="1" t="s">
        <v>113</v>
      </c>
      <c r="K399" s="1" t="s">
        <v>1582</v>
      </c>
      <c r="L399" s="1" t="s">
        <v>111</v>
      </c>
      <c r="M399" s="1" t="s">
        <v>1157</v>
      </c>
      <c r="N399" s="1" t="s">
        <v>112</v>
      </c>
      <c r="O399" s="1" t="s">
        <v>113</v>
      </c>
      <c r="P399" s="1" t="s">
        <v>113</v>
      </c>
      <c r="Q399" s="1" t="s">
        <v>1298</v>
      </c>
      <c r="R399" s="1" t="s">
        <v>430</v>
      </c>
      <c r="S399" s="1" t="s">
        <v>436</v>
      </c>
      <c r="T399" s="1" t="s">
        <v>106</v>
      </c>
      <c r="U399" s="1" t="s">
        <v>4956</v>
      </c>
      <c r="V399" s="1" t="s">
        <v>2580</v>
      </c>
      <c r="W399" s="1" t="s">
        <v>115</v>
      </c>
      <c r="X399" s="1" t="s">
        <v>113</v>
      </c>
      <c r="Y399" s="1" t="s">
        <v>436</v>
      </c>
      <c r="Z399" s="1">
        <v>100</v>
      </c>
      <c r="AA399" s="1" t="s">
        <v>132</v>
      </c>
      <c r="AB399" s="1" t="s">
        <v>128</v>
      </c>
      <c r="AC399" s="1" t="s">
        <v>384</v>
      </c>
      <c r="AD399" s="1">
        <v>100</v>
      </c>
      <c r="AE399" s="1" t="s">
        <v>132</v>
      </c>
      <c r="AF399" s="1" t="s">
        <v>4957</v>
      </c>
      <c r="AG399" s="1" t="s">
        <v>113</v>
      </c>
      <c r="AH399" s="1">
        <v>60</v>
      </c>
      <c r="AI399" s="1">
        <v>30</v>
      </c>
      <c r="AJ399" s="1">
        <v>10</v>
      </c>
      <c r="AK399" s="1" t="s">
        <v>232</v>
      </c>
      <c r="AL399" s="1">
        <v>0</v>
      </c>
      <c r="AM399" s="1" t="s">
        <v>120</v>
      </c>
      <c r="AN399" s="1">
        <v>0</v>
      </c>
      <c r="AO399" s="1" t="s">
        <v>113</v>
      </c>
      <c r="AP399" s="1" t="s">
        <v>113</v>
      </c>
      <c r="AQ399" s="1" t="s">
        <v>436</v>
      </c>
      <c r="AR399" s="1" t="s">
        <v>436</v>
      </c>
      <c r="AS399" s="1" t="s">
        <v>430</v>
      </c>
      <c r="AT399" s="1" t="s">
        <v>123</v>
      </c>
      <c r="AU399" s="1" t="s">
        <v>106</v>
      </c>
      <c r="AV399" s="1" t="s">
        <v>113</v>
      </c>
      <c r="AW399" s="1" t="s">
        <v>234</v>
      </c>
      <c r="AX399" s="1" t="s">
        <v>206</v>
      </c>
      <c r="AY399" s="1">
        <v>3000</v>
      </c>
      <c r="AZ399" s="1" t="s">
        <v>113</v>
      </c>
      <c r="BA399" s="1" t="s">
        <v>113</v>
      </c>
      <c r="BB399" s="1" t="s">
        <v>125</v>
      </c>
      <c r="BC399" s="1" t="s">
        <v>166</v>
      </c>
      <c r="BD399" s="1">
        <v>0</v>
      </c>
      <c r="BE399" s="1">
        <v>100</v>
      </c>
      <c r="BF399" s="1" t="s">
        <v>167</v>
      </c>
      <c r="BG399" s="1" t="s">
        <v>132</v>
      </c>
      <c r="BH399" s="1" t="s">
        <v>168</v>
      </c>
      <c r="BI399" s="1" t="s">
        <v>168</v>
      </c>
      <c r="BJ399" s="1" t="s">
        <v>128</v>
      </c>
      <c r="BK399" s="1">
        <v>0</v>
      </c>
      <c r="BL399" s="1" t="s">
        <v>127</v>
      </c>
      <c r="BM399" s="1" t="s">
        <v>114</v>
      </c>
      <c r="BN399" s="1">
        <v>20</v>
      </c>
      <c r="BO399" s="1">
        <v>3</v>
      </c>
      <c r="BP399" s="1" t="s">
        <v>124</v>
      </c>
      <c r="BQ399" s="1" t="s">
        <v>436</v>
      </c>
      <c r="BR399" s="1" t="s">
        <v>4958</v>
      </c>
      <c r="BS399" s="1" t="s">
        <v>4959</v>
      </c>
      <c r="BT399" s="1" t="s">
        <v>172</v>
      </c>
      <c r="BU399" s="1" t="s">
        <v>132</v>
      </c>
      <c r="BV399" s="1" t="s">
        <v>133</v>
      </c>
      <c r="BW399" s="1" t="s">
        <v>134</v>
      </c>
      <c r="BX399" s="1" t="s">
        <v>436</v>
      </c>
      <c r="BY399" s="1" t="s">
        <v>135</v>
      </c>
      <c r="BZ399" s="1">
        <v>272330</v>
      </c>
      <c r="CA399" s="1">
        <v>0</v>
      </c>
      <c r="CB399" s="1" t="s">
        <v>137</v>
      </c>
      <c r="CC399" s="1" t="s">
        <v>138</v>
      </c>
      <c r="CD399" s="1" t="s">
        <v>436</v>
      </c>
      <c r="CE399" s="1" t="s">
        <v>179</v>
      </c>
      <c r="CF399" s="5" t="s">
        <v>220</v>
      </c>
      <c r="CG399" s="1">
        <v>203423076</v>
      </c>
      <c r="CH399" s="1">
        <v>10627181</v>
      </c>
      <c r="CI399" s="5" t="s">
        <v>220</v>
      </c>
      <c r="CJ399" s="4">
        <v>6324742</v>
      </c>
      <c r="CK399" s="1">
        <v>5996004</v>
      </c>
      <c r="CL399" s="5" t="s">
        <v>220</v>
      </c>
      <c r="CM399" s="1">
        <v>6324742</v>
      </c>
      <c r="CN399" s="5" t="s">
        <v>220</v>
      </c>
      <c r="CO399" s="5" t="s">
        <v>220</v>
      </c>
      <c r="CP399" s="5" t="s">
        <v>220</v>
      </c>
      <c r="CQ399" s="5" t="s">
        <v>220</v>
      </c>
      <c r="CR399" s="1" t="s">
        <v>139</v>
      </c>
      <c r="CS399" s="1" t="s">
        <v>140</v>
      </c>
      <c r="CT399" s="1" t="s">
        <v>282</v>
      </c>
      <c r="CV399" s="1" t="s">
        <v>4960</v>
      </c>
      <c r="CW399" s="1" t="s">
        <v>251</v>
      </c>
      <c r="CX399" s="1" t="s">
        <v>436</v>
      </c>
      <c r="CY399" s="1" t="s">
        <v>143</v>
      </c>
      <c r="CZ399" s="1" t="s">
        <v>144</v>
      </c>
      <c r="DA399" s="1" t="s">
        <v>145</v>
      </c>
    </row>
    <row r="400" spans="1:105" s="3" customFormat="1" ht="11.25" customHeight="1" x14ac:dyDescent="0.2">
      <c r="A400" s="3">
        <v>41</v>
      </c>
      <c r="B400" s="3" t="s">
        <v>4962</v>
      </c>
      <c r="C400" s="3" t="s">
        <v>4961</v>
      </c>
      <c r="D400" s="3">
        <v>5851</v>
      </c>
      <c r="E400" s="2" t="s">
        <v>4201</v>
      </c>
      <c r="F400" s="1" t="s">
        <v>113</v>
      </c>
      <c r="G400" s="1" t="s">
        <v>190</v>
      </c>
      <c r="H400" s="1" t="s">
        <v>3702</v>
      </c>
      <c r="I400" s="1" t="s">
        <v>193</v>
      </c>
      <c r="J400" s="1" t="s">
        <v>229</v>
      </c>
      <c r="K400" s="1" t="s">
        <v>1582</v>
      </c>
      <c r="L400" s="1" t="s">
        <v>111</v>
      </c>
      <c r="M400" s="1" t="s">
        <v>111</v>
      </c>
      <c r="N400" s="1" t="s">
        <v>2020</v>
      </c>
      <c r="O400" s="1" t="s">
        <v>113</v>
      </c>
      <c r="P400" s="1" t="s">
        <v>113</v>
      </c>
      <c r="Q400" s="1" t="s">
        <v>152</v>
      </c>
      <c r="R400" s="1" t="s">
        <v>111</v>
      </c>
      <c r="S400" s="1" t="s">
        <v>4963</v>
      </c>
      <c r="T400" s="1" t="s">
        <v>106</v>
      </c>
      <c r="U400" s="1" t="s">
        <v>111</v>
      </c>
      <c r="W400" s="1" t="s">
        <v>199</v>
      </c>
      <c r="X400" s="1" t="s">
        <v>113</v>
      </c>
      <c r="Y400" s="1" t="s">
        <v>111</v>
      </c>
      <c r="Z400" s="1">
        <v>100</v>
      </c>
      <c r="AA400" s="1" t="s">
        <v>116</v>
      </c>
      <c r="AB400" s="1" t="s">
        <v>128</v>
      </c>
      <c r="AC400" s="1" t="s">
        <v>118</v>
      </c>
      <c r="AD400" s="1">
        <v>25</v>
      </c>
      <c r="AE400" s="1" t="s">
        <v>116</v>
      </c>
      <c r="AF400" s="1">
        <v>1080</v>
      </c>
      <c r="AG400" s="1" t="s">
        <v>113</v>
      </c>
      <c r="AH400" s="1">
        <v>50</v>
      </c>
      <c r="AI400" s="1">
        <v>30</v>
      </c>
      <c r="AJ400" s="1">
        <v>20</v>
      </c>
      <c r="AK400" s="1" t="s">
        <v>232</v>
      </c>
      <c r="AL400" s="1">
        <v>0</v>
      </c>
      <c r="AM400" s="1" t="s">
        <v>4964</v>
      </c>
      <c r="AN400" s="1">
        <v>1200</v>
      </c>
      <c r="AO400" s="1" t="s">
        <v>113</v>
      </c>
      <c r="AP400" s="1" t="s">
        <v>113</v>
      </c>
      <c r="AQ400" s="1" t="s">
        <v>111</v>
      </c>
      <c r="AR400" s="1" t="s">
        <v>114</v>
      </c>
      <c r="AS400" s="1" t="s">
        <v>114</v>
      </c>
      <c r="AT400" s="1" t="s">
        <v>628</v>
      </c>
      <c r="AU400" s="1" t="s">
        <v>113</v>
      </c>
      <c r="AV400" s="1" t="s">
        <v>113</v>
      </c>
      <c r="AW400" s="1" t="s">
        <v>234</v>
      </c>
      <c r="AX400" s="1" t="s">
        <v>206</v>
      </c>
      <c r="AY400" s="1">
        <v>2000</v>
      </c>
      <c r="AZ400" s="1" t="s">
        <v>113</v>
      </c>
      <c r="BA400" s="1" t="s">
        <v>113</v>
      </c>
      <c r="BB400" s="1" t="s">
        <v>125</v>
      </c>
      <c r="BC400" s="1" t="s">
        <v>166</v>
      </c>
      <c r="BD400" s="1">
        <v>20</v>
      </c>
      <c r="BE400" s="1">
        <v>100</v>
      </c>
      <c r="BF400" s="1" t="s">
        <v>167</v>
      </c>
      <c r="BG400" s="1" t="s">
        <v>116</v>
      </c>
      <c r="BH400" s="1" t="s">
        <v>207</v>
      </c>
      <c r="BI400" s="1" t="s">
        <v>207</v>
      </c>
      <c r="BJ400" s="1" t="s">
        <v>208</v>
      </c>
      <c r="BK400" s="1">
        <v>20</v>
      </c>
      <c r="BL400" s="1" t="s">
        <v>167</v>
      </c>
      <c r="BM400" s="1" t="s">
        <v>210</v>
      </c>
      <c r="BN400" s="1" t="s">
        <v>143</v>
      </c>
      <c r="BO400" s="1" t="s">
        <v>143</v>
      </c>
      <c r="BP400" s="1" t="s">
        <v>124</v>
      </c>
      <c r="BQ400" s="1" t="s">
        <v>4961</v>
      </c>
      <c r="BR400" s="1" t="s">
        <v>4965</v>
      </c>
      <c r="BS400" s="1" t="s">
        <v>4966</v>
      </c>
      <c r="BT400" s="1" t="s">
        <v>172</v>
      </c>
      <c r="BU400" s="1" t="s">
        <v>239</v>
      </c>
      <c r="BV400" s="1" t="s">
        <v>3402</v>
      </c>
      <c r="BW400" s="1" t="s">
        <v>134</v>
      </c>
      <c r="BX400" s="1" t="s">
        <v>2937</v>
      </c>
      <c r="BY400" s="1" t="s">
        <v>135</v>
      </c>
      <c r="BZ400" s="1" t="s">
        <v>114</v>
      </c>
      <c r="CA400" s="1">
        <v>60</v>
      </c>
      <c r="CB400" s="1" t="s">
        <v>244</v>
      </c>
      <c r="CC400" s="1" t="s">
        <v>177</v>
      </c>
      <c r="CE400" s="1" t="s">
        <v>219</v>
      </c>
      <c r="CF400" s="1">
        <v>63838.52</v>
      </c>
      <c r="CG400" s="1">
        <v>690000</v>
      </c>
      <c r="CH400" s="1">
        <v>250</v>
      </c>
      <c r="CI400" s="1">
        <v>0.01</v>
      </c>
      <c r="CJ400" s="1">
        <v>260</v>
      </c>
      <c r="CK400" s="1">
        <v>290</v>
      </c>
      <c r="CL400" s="1">
        <v>1</v>
      </c>
      <c r="CM400" s="1">
        <v>90</v>
      </c>
      <c r="CN400" s="1">
        <v>50</v>
      </c>
      <c r="CO400" s="1">
        <v>1</v>
      </c>
      <c r="CP400" s="1">
        <v>1</v>
      </c>
      <c r="CQ400" s="1">
        <v>1</v>
      </c>
      <c r="CR400" s="1" t="s">
        <v>139</v>
      </c>
      <c r="CS400" s="1" t="s">
        <v>848</v>
      </c>
      <c r="CT400" s="1" t="s">
        <v>4967</v>
      </c>
      <c r="CV400" s="1" t="s">
        <v>4968</v>
      </c>
      <c r="CW400" s="1" t="s">
        <v>251</v>
      </c>
      <c r="CX400" s="1" t="s">
        <v>114</v>
      </c>
      <c r="CY400" s="1" t="s">
        <v>143</v>
      </c>
      <c r="CZ400" s="1" t="s">
        <v>144</v>
      </c>
      <c r="DA400" s="1" t="s">
        <v>145</v>
      </c>
    </row>
  </sheetData>
  <hyperlinks>
    <hyperlink ref="R323" r:id="rId1" xr:uid="{511197DC-247A-4987-96A4-DE128097373B}"/>
    <hyperlink ref="S323" r:id="rId2" xr:uid="{B9B6889D-B76E-4686-8C50-6354008405BF}"/>
    <hyperlink ref="R14" r:id="rId3" xr:uid="{34AC7EAF-D25D-4F18-B1D1-46350705FCCC}"/>
    <hyperlink ref="S14" r:id="rId4" xr:uid="{1CC2282B-2540-4727-9555-9213F5D031E9}"/>
    <hyperlink ref="U14" r:id="rId5" xr:uid="{80820D22-D5B1-4961-8C18-8EB62F9B0EFC}"/>
    <hyperlink ref="S159" r:id="rId6" xr:uid="{D378D3C4-F085-404A-BC35-179E5A75F351}"/>
    <hyperlink ref="U159" r:id="rId7" xr:uid="{AB64F821-0A32-4C17-AAF6-6BB42E234670}"/>
    <hyperlink ref="R298" r:id="rId8" xr:uid="{FEF6B042-1FE3-4526-B92D-86F8C15F1AEB}"/>
    <hyperlink ref="U298" r:id="rId9" xr:uid="{C64CA733-0EF2-4238-999C-D08D1CFF1B76}"/>
    <hyperlink ref="R396" r:id="rId10" xr:uid="{72B72095-E1F5-48D7-9A16-C864F9775933}"/>
    <hyperlink ref="S396" r:id="rId11" xr:uid="{E0C312E0-65BD-4C9A-9347-AA3B7B412727}"/>
    <hyperlink ref="U379" r:id="rId12" xr:uid="{9AAC7AF3-7658-4774-B214-A5C7663BBFEE}"/>
    <hyperlink ref="M395" r:id="rId13" xr:uid="{D6D30883-FA6B-47D5-BDAD-5903F2646EDD}"/>
    <hyperlink ref="R395" r:id="rId14" xr:uid="{7F6711B3-C03A-403F-BF27-3E5080432F60}"/>
  </hyperlinks>
  <pageMargins left="0.7" right="0.7" top="0.75" bottom="0.75" header="0.3" footer="0.3"/>
  <pageSetup paperSize="9" orientation="portrait"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7F3C-6606-43F1-A52E-7DD7D4D672BA}">
  <dimension ref="A1:FB506"/>
  <sheetViews>
    <sheetView tabSelected="1" zoomScale="115" zoomScaleNormal="115" workbookViewId="0">
      <selection activeCell="C12" sqref="C12"/>
    </sheetView>
  </sheetViews>
  <sheetFormatPr defaultColWidth="17.5703125" defaultRowHeight="10.5" customHeight="1" x14ac:dyDescent="0.2"/>
  <cols>
    <col min="1" max="16384" width="17.5703125" style="18"/>
  </cols>
  <sheetData>
    <row r="1" spans="1:158" s="15" customFormat="1" ht="10.5" customHeight="1" x14ac:dyDescent="0.25">
      <c r="A1" s="14" t="s">
        <v>0</v>
      </c>
      <c r="B1" s="14" t="s">
        <v>1</v>
      </c>
      <c r="C1" s="14" t="s">
        <v>2</v>
      </c>
      <c r="D1" s="14" t="s">
        <v>3</v>
      </c>
      <c r="E1" s="14" t="s">
        <v>4970</v>
      </c>
      <c r="F1" s="15" t="s">
        <v>4971</v>
      </c>
      <c r="G1" s="15" t="s">
        <v>4972</v>
      </c>
      <c r="H1" s="15" t="s">
        <v>4973</v>
      </c>
      <c r="I1" s="15" t="s">
        <v>4974</v>
      </c>
      <c r="J1" s="15" t="s">
        <v>4975</v>
      </c>
      <c r="K1" s="15" t="s">
        <v>4976</v>
      </c>
      <c r="L1" s="15" t="s">
        <v>4977</v>
      </c>
      <c r="M1" s="15" t="s">
        <v>4978</v>
      </c>
      <c r="N1" s="15" t="s">
        <v>4979</v>
      </c>
      <c r="O1" s="15" t="s">
        <v>4980</v>
      </c>
      <c r="P1" s="15" t="s">
        <v>4981</v>
      </c>
      <c r="Q1" s="15" t="s">
        <v>4982</v>
      </c>
      <c r="R1" s="15" t="s">
        <v>4983</v>
      </c>
      <c r="S1" s="15" t="s">
        <v>4984</v>
      </c>
      <c r="T1" s="15" t="s">
        <v>4985</v>
      </c>
      <c r="U1" s="15" t="s">
        <v>4986</v>
      </c>
      <c r="V1" s="15" t="s">
        <v>4987</v>
      </c>
      <c r="W1" s="15" t="s">
        <v>4988</v>
      </c>
      <c r="X1" s="15" t="s">
        <v>4989</v>
      </c>
      <c r="Y1" s="15" t="s">
        <v>4990</v>
      </c>
      <c r="Z1" s="15" t="s">
        <v>4991</v>
      </c>
      <c r="AA1" s="15" t="s">
        <v>4992</v>
      </c>
      <c r="AB1" s="15" t="s">
        <v>4993</v>
      </c>
      <c r="AC1" s="15" t="s">
        <v>4994</v>
      </c>
      <c r="AD1" s="15" t="s">
        <v>4995</v>
      </c>
      <c r="AE1" s="15" t="s">
        <v>4996</v>
      </c>
      <c r="AF1" s="15" t="s">
        <v>4997</v>
      </c>
      <c r="AG1" s="15" t="s">
        <v>4998</v>
      </c>
      <c r="AH1" s="15" t="s">
        <v>4999</v>
      </c>
      <c r="AI1" s="15" t="s">
        <v>5000</v>
      </c>
      <c r="AJ1" s="15" t="s">
        <v>5001</v>
      </c>
      <c r="AK1" s="15" t="s">
        <v>5002</v>
      </c>
      <c r="AL1" s="15" t="s">
        <v>5003</v>
      </c>
      <c r="AM1" s="15" t="s">
        <v>5004</v>
      </c>
      <c r="AN1" s="15" t="s">
        <v>5005</v>
      </c>
      <c r="AO1" s="15" t="s">
        <v>5006</v>
      </c>
      <c r="AP1" s="15" t="s">
        <v>5007</v>
      </c>
      <c r="AQ1" s="15" t="s">
        <v>5008</v>
      </c>
      <c r="AR1" s="15" t="s">
        <v>5009</v>
      </c>
      <c r="AS1" s="15" t="s">
        <v>5010</v>
      </c>
      <c r="AT1" s="15" t="s">
        <v>5011</v>
      </c>
      <c r="AU1" s="15" t="s">
        <v>5012</v>
      </c>
      <c r="AV1" s="15" t="s">
        <v>5013</v>
      </c>
      <c r="AW1" s="15" t="s">
        <v>5014</v>
      </c>
      <c r="AX1" s="15" t="s">
        <v>5015</v>
      </c>
      <c r="AY1" s="15" t="s">
        <v>5016</v>
      </c>
      <c r="AZ1" s="15" t="s">
        <v>5017</v>
      </c>
      <c r="BA1" s="15" t="s">
        <v>5018</v>
      </c>
      <c r="BB1" s="15" t="s">
        <v>5019</v>
      </c>
      <c r="BC1" s="15" t="s">
        <v>5020</v>
      </c>
      <c r="BD1" s="15" t="s">
        <v>5021</v>
      </c>
      <c r="BE1" s="15" t="s">
        <v>5022</v>
      </c>
      <c r="BF1" s="15" t="s">
        <v>5023</v>
      </c>
      <c r="BG1" s="15" t="s">
        <v>5024</v>
      </c>
      <c r="BH1" s="15" t="s">
        <v>5025</v>
      </c>
      <c r="BI1" s="15" t="s">
        <v>5026</v>
      </c>
      <c r="BJ1" s="15" t="s">
        <v>5027</v>
      </c>
      <c r="BK1" s="15" t="s">
        <v>5028</v>
      </c>
      <c r="BL1" s="15" t="s">
        <v>5029</v>
      </c>
      <c r="BM1" s="15" t="s">
        <v>5030</v>
      </c>
      <c r="BN1" s="15" t="s">
        <v>5031</v>
      </c>
      <c r="BO1" s="15" t="s">
        <v>5032</v>
      </c>
      <c r="BP1" s="15" t="s">
        <v>5033</v>
      </c>
      <c r="BQ1" s="15" t="s">
        <v>5034</v>
      </c>
      <c r="BR1" s="15" t="s">
        <v>5035</v>
      </c>
      <c r="BS1" s="15" t="s">
        <v>5036</v>
      </c>
      <c r="BT1" s="15" t="s">
        <v>5037</v>
      </c>
      <c r="BU1" s="15" t="s">
        <v>5038</v>
      </c>
      <c r="BV1" s="15" t="s">
        <v>5039</v>
      </c>
      <c r="BW1" s="15" t="s">
        <v>5040</v>
      </c>
      <c r="BX1" s="15" t="s">
        <v>5041</v>
      </c>
      <c r="BY1" s="15" t="s">
        <v>5042</v>
      </c>
      <c r="BZ1" s="15" t="s">
        <v>5043</v>
      </c>
      <c r="CA1" s="15" t="s">
        <v>5044</v>
      </c>
      <c r="CB1" s="15" t="s">
        <v>5032</v>
      </c>
      <c r="CC1" s="15" t="s">
        <v>5045</v>
      </c>
      <c r="CD1" s="15" t="s">
        <v>5046</v>
      </c>
      <c r="CE1" s="15" t="s">
        <v>5047</v>
      </c>
      <c r="CF1" s="15" t="s">
        <v>5048</v>
      </c>
      <c r="CG1" s="15" t="s">
        <v>5049</v>
      </c>
      <c r="CH1" s="15" t="s">
        <v>5050</v>
      </c>
      <c r="CI1" s="15" t="s">
        <v>5051</v>
      </c>
      <c r="CJ1" s="15" t="s">
        <v>5052</v>
      </c>
      <c r="CK1" s="15" t="s">
        <v>5049</v>
      </c>
      <c r="CL1" s="15" t="s">
        <v>5053</v>
      </c>
      <c r="CM1" s="15" t="s">
        <v>5054</v>
      </c>
      <c r="CN1" s="15" t="s">
        <v>5055</v>
      </c>
      <c r="CO1" s="15" t="s">
        <v>5056</v>
      </c>
      <c r="CP1" s="15" t="s">
        <v>5057</v>
      </c>
      <c r="CQ1" s="15" t="s">
        <v>5058</v>
      </c>
      <c r="CR1" s="15" t="s">
        <v>5059</v>
      </c>
      <c r="CS1" s="15" t="s">
        <v>5060</v>
      </c>
      <c r="CT1" s="15" t="s">
        <v>5061</v>
      </c>
      <c r="CU1" s="15" t="s">
        <v>5062</v>
      </c>
      <c r="CV1" s="15" t="s">
        <v>5063</v>
      </c>
      <c r="CW1" s="15" t="s">
        <v>5064</v>
      </c>
      <c r="CX1" s="15" t="s">
        <v>5065</v>
      </c>
      <c r="CY1" s="15" t="s">
        <v>5066</v>
      </c>
      <c r="CZ1" s="15" t="s">
        <v>5067</v>
      </c>
      <c r="DA1" s="15" t="s">
        <v>5068</v>
      </c>
      <c r="DB1" s="15" t="s">
        <v>5069</v>
      </c>
      <c r="DC1" s="15" t="s">
        <v>5070</v>
      </c>
      <c r="DD1" s="15" t="s">
        <v>5071</v>
      </c>
      <c r="DE1" s="15" t="s">
        <v>5072</v>
      </c>
      <c r="DF1" s="15" t="s">
        <v>5073</v>
      </c>
      <c r="DG1" s="15" t="s">
        <v>5074</v>
      </c>
      <c r="DH1" s="15" t="s">
        <v>5075</v>
      </c>
      <c r="DI1" s="15" t="s">
        <v>5076</v>
      </c>
      <c r="DJ1" s="15" t="s">
        <v>5077</v>
      </c>
      <c r="DK1" s="15" t="s">
        <v>5078</v>
      </c>
      <c r="DL1" s="15" t="s">
        <v>5079</v>
      </c>
      <c r="DM1" s="15" t="s">
        <v>5080</v>
      </c>
      <c r="DN1" s="15" t="s">
        <v>5081</v>
      </c>
      <c r="DO1" s="15" t="s">
        <v>5082</v>
      </c>
      <c r="DP1" s="15" t="s">
        <v>5083</v>
      </c>
      <c r="DQ1" s="15" t="s">
        <v>5084</v>
      </c>
      <c r="DR1" s="15" t="s">
        <v>5085</v>
      </c>
      <c r="DS1" s="15" t="s">
        <v>5086</v>
      </c>
      <c r="DT1" s="15" t="s">
        <v>5087</v>
      </c>
      <c r="DU1" s="15" t="s">
        <v>5088</v>
      </c>
      <c r="DV1" s="15" t="s">
        <v>5089</v>
      </c>
      <c r="DW1" s="15" t="s">
        <v>5090</v>
      </c>
      <c r="DX1" s="15" t="s">
        <v>5091</v>
      </c>
      <c r="DY1" s="15" t="s">
        <v>5092</v>
      </c>
      <c r="DZ1" s="15" t="s">
        <v>5093</v>
      </c>
      <c r="EA1" s="15" t="s">
        <v>5094</v>
      </c>
      <c r="EB1" s="15" t="s">
        <v>5095</v>
      </c>
      <c r="EC1" s="15" t="s">
        <v>5096</v>
      </c>
      <c r="ED1" s="15" t="s">
        <v>5097</v>
      </c>
      <c r="EE1" s="15" t="s">
        <v>5098</v>
      </c>
      <c r="EF1" s="15" t="s">
        <v>5099</v>
      </c>
      <c r="EG1" s="15" t="s">
        <v>5100</v>
      </c>
      <c r="EH1" s="15" t="s">
        <v>5101</v>
      </c>
      <c r="EI1" s="15" t="s">
        <v>5102</v>
      </c>
      <c r="EJ1" s="15" t="s">
        <v>5103</v>
      </c>
      <c r="EK1" s="15" t="s">
        <v>5104</v>
      </c>
      <c r="EL1" s="15" t="s">
        <v>5105</v>
      </c>
      <c r="EM1" s="15" t="s">
        <v>5106</v>
      </c>
      <c r="EN1" s="15" t="s">
        <v>5107</v>
      </c>
      <c r="EO1" s="15" t="s">
        <v>5108</v>
      </c>
      <c r="EP1" s="15" t="s">
        <v>5109</v>
      </c>
      <c r="EQ1" s="15" t="s">
        <v>5110</v>
      </c>
      <c r="ER1" s="15" t="s">
        <v>5111</v>
      </c>
      <c r="ES1" s="15" t="s">
        <v>5112</v>
      </c>
      <c r="ET1" s="15" t="s">
        <v>5113</v>
      </c>
      <c r="EU1" s="15" t="s">
        <v>5114</v>
      </c>
      <c r="EV1" s="15" t="s">
        <v>5115</v>
      </c>
      <c r="EW1" s="15" t="s">
        <v>5116</v>
      </c>
      <c r="EX1" s="15" t="s">
        <v>5117</v>
      </c>
      <c r="EY1" s="15" t="s">
        <v>5118</v>
      </c>
      <c r="EZ1" s="15" t="s">
        <v>5119</v>
      </c>
      <c r="FA1" s="15" t="s">
        <v>102</v>
      </c>
      <c r="FB1" s="15" t="s">
        <v>5120</v>
      </c>
    </row>
    <row r="2" spans="1:158" s="15" customFormat="1" ht="10.5" customHeight="1" x14ac:dyDescent="0.25">
      <c r="A2" s="16">
        <v>41</v>
      </c>
      <c r="B2" s="16" t="s">
        <v>2334</v>
      </c>
      <c r="C2" s="16" t="s">
        <v>2335</v>
      </c>
      <c r="D2" s="16">
        <v>7271</v>
      </c>
      <c r="E2" s="16" t="s">
        <v>6656</v>
      </c>
      <c r="H2" s="15" t="s">
        <v>6661</v>
      </c>
      <c r="AT2" s="17">
        <f>(365*D2*0.7)/1000</f>
        <v>1857.7404999999997</v>
      </c>
      <c r="AU2" s="17">
        <f>SUM(AV2:AX2)</f>
        <v>0</v>
      </c>
      <c r="BW2" s="15">
        <f>SUM(BQ2:BU2)</f>
        <v>0</v>
      </c>
    </row>
    <row r="3" spans="1:158" ht="10.5" customHeight="1" x14ac:dyDescent="0.2">
      <c r="A3" s="16">
        <v>41</v>
      </c>
      <c r="B3" s="16" t="s">
        <v>105</v>
      </c>
      <c r="C3" s="16" t="s">
        <v>104</v>
      </c>
      <c r="D3" s="16">
        <v>6327</v>
      </c>
      <c r="E3" s="16" t="s">
        <v>6656</v>
      </c>
      <c r="F3" s="18" t="s">
        <v>104</v>
      </c>
      <c r="G3" s="18" t="s">
        <v>113</v>
      </c>
      <c r="H3" s="15" t="s">
        <v>111</v>
      </c>
      <c r="AT3" s="17">
        <f>(365*D3*0.7)/1000</f>
        <v>1616.5485000000001</v>
      </c>
      <c r="AU3" s="17">
        <f t="shared" ref="AU3:AU66" si="0">SUM(AV3:AX3)</f>
        <v>0</v>
      </c>
      <c r="BW3" s="15">
        <f t="shared" ref="BW3:BW66" si="1">SUM(BQ3:BU3)</f>
        <v>0</v>
      </c>
    </row>
    <row r="4" spans="1:158" ht="10.5" customHeight="1" x14ac:dyDescent="0.2">
      <c r="A4" s="16">
        <v>41</v>
      </c>
      <c r="B4" s="16" t="s">
        <v>2848</v>
      </c>
      <c r="C4" s="16" t="s">
        <v>2849</v>
      </c>
      <c r="D4" s="16">
        <v>10646</v>
      </c>
      <c r="E4" s="16" t="s">
        <v>6656</v>
      </c>
      <c r="H4" s="15" t="s">
        <v>6661</v>
      </c>
      <c r="AT4" s="17">
        <f>(365*D4*0.7)/1000</f>
        <v>2720.0529999999999</v>
      </c>
      <c r="AU4" s="17">
        <f t="shared" si="0"/>
        <v>0</v>
      </c>
      <c r="BW4" s="15">
        <f t="shared" si="1"/>
        <v>0</v>
      </c>
    </row>
    <row r="5" spans="1:158" ht="10.5" customHeight="1" x14ac:dyDescent="0.2">
      <c r="A5" s="16">
        <v>41</v>
      </c>
      <c r="B5" s="16" t="s">
        <v>147</v>
      </c>
      <c r="C5" s="16" t="s">
        <v>146</v>
      </c>
      <c r="D5" s="16">
        <v>124788</v>
      </c>
      <c r="E5" s="16" t="s">
        <v>6657</v>
      </c>
      <c r="F5" s="18" t="s">
        <v>146</v>
      </c>
      <c r="G5" s="18" t="s">
        <v>106</v>
      </c>
      <c r="H5" s="15" t="s">
        <v>5127</v>
      </c>
      <c r="I5" s="18">
        <v>8</v>
      </c>
      <c r="J5" s="18">
        <v>7</v>
      </c>
      <c r="K5" s="18">
        <v>1</v>
      </c>
      <c r="L5" s="18">
        <v>0</v>
      </c>
      <c r="M5" s="18" t="s">
        <v>5121</v>
      </c>
      <c r="N5" s="18" t="s">
        <v>1426</v>
      </c>
      <c r="T5" s="18" t="s">
        <v>5122</v>
      </c>
      <c r="U5" s="18" t="s">
        <v>5123</v>
      </c>
      <c r="V5" s="18" t="s">
        <v>113</v>
      </c>
      <c r="W5" s="18" t="s">
        <v>5124</v>
      </c>
      <c r="Y5" s="18" t="s">
        <v>5125</v>
      </c>
      <c r="Z5" s="18" t="s">
        <v>113</v>
      </c>
      <c r="AA5" s="18" t="s">
        <v>5126</v>
      </c>
      <c r="AB5" s="18" t="s">
        <v>179</v>
      </c>
      <c r="AC5" s="18" t="s">
        <v>111</v>
      </c>
      <c r="AD5" s="18" t="s">
        <v>5127</v>
      </c>
      <c r="AE5" s="18" t="s">
        <v>111</v>
      </c>
      <c r="AF5" s="18" t="s">
        <v>111</v>
      </c>
      <c r="AG5" s="18" t="s">
        <v>5127</v>
      </c>
      <c r="AH5" s="18" t="s">
        <v>111</v>
      </c>
      <c r="AI5" s="18">
        <v>0</v>
      </c>
      <c r="AK5" s="18" t="s">
        <v>5128</v>
      </c>
      <c r="AN5" s="18">
        <v>141</v>
      </c>
      <c r="AO5" s="18" t="s">
        <v>5129</v>
      </c>
      <c r="AP5" s="18" t="s">
        <v>5130</v>
      </c>
      <c r="AQ5" s="18" t="s">
        <v>5131</v>
      </c>
      <c r="AR5" s="18" t="s">
        <v>5132</v>
      </c>
      <c r="AT5" s="17">
        <f>(365*D5*0.7)/1000</f>
        <v>31883.333999999995</v>
      </c>
      <c r="AU5" s="17">
        <f t="shared" si="0"/>
        <v>56</v>
      </c>
      <c r="AV5" s="18">
        <v>56</v>
      </c>
      <c r="AW5" s="18">
        <v>0</v>
      </c>
      <c r="AY5" s="18" t="s">
        <v>164</v>
      </c>
      <c r="AZ5" s="18">
        <v>0</v>
      </c>
      <c r="BA5" s="18">
        <v>0</v>
      </c>
      <c r="BB5" s="18">
        <v>0</v>
      </c>
      <c r="BD5" s="18">
        <v>0</v>
      </c>
      <c r="BE5" s="18">
        <v>0</v>
      </c>
      <c r="BG5" s="18" t="s">
        <v>5133</v>
      </c>
      <c r="BH5" s="18">
        <f>80/1000</f>
        <v>0.08</v>
      </c>
      <c r="BI5" s="18">
        <v>0</v>
      </c>
      <c r="BJ5" s="18">
        <v>0</v>
      </c>
      <c r="BQ5" s="18">
        <v>25</v>
      </c>
      <c r="BR5" s="18">
        <v>20</v>
      </c>
      <c r="BS5" s="18">
        <v>25</v>
      </c>
      <c r="BT5" s="18">
        <v>10</v>
      </c>
      <c r="BU5" s="18">
        <v>5</v>
      </c>
      <c r="BV5" s="18">
        <v>85</v>
      </c>
      <c r="BW5" s="15">
        <f t="shared" si="1"/>
        <v>85</v>
      </c>
      <c r="BY5" s="18" t="s">
        <v>5134</v>
      </c>
      <c r="BZ5" s="18" t="s">
        <v>193</v>
      </c>
      <c r="CD5" s="18" t="s">
        <v>5127</v>
      </c>
      <c r="CE5" s="18" t="s">
        <v>111</v>
      </c>
      <c r="CF5" s="18" t="s">
        <v>5135</v>
      </c>
      <c r="CG5" s="18" t="s">
        <v>5136</v>
      </c>
      <c r="CH5" s="18" t="s">
        <v>5137</v>
      </c>
      <c r="CI5" s="18" t="s">
        <v>5138</v>
      </c>
      <c r="CJ5" s="18" t="s">
        <v>5139</v>
      </c>
      <c r="CK5" s="18" t="s">
        <v>5140</v>
      </c>
      <c r="CL5" s="18">
        <v>0</v>
      </c>
      <c r="CM5" s="18">
        <v>0</v>
      </c>
      <c r="CN5" s="18">
        <v>0</v>
      </c>
      <c r="CO5" s="18">
        <v>1</v>
      </c>
      <c r="CP5" s="18">
        <v>0</v>
      </c>
      <c r="CQ5" s="18">
        <v>0</v>
      </c>
      <c r="CR5" s="18" t="s">
        <v>5141</v>
      </c>
      <c r="CS5" s="18" t="s">
        <v>5141</v>
      </c>
      <c r="CT5" s="18">
        <v>0</v>
      </c>
      <c r="CU5" s="18">
        <v>1</v>
      </c>
      <c r="CV5" s="18">
        <v>0</v>
      </c>
      <c r="CX5" s="18">
        <v>1</v>
      </c>
      <c r="CY5" s="18">
        <v>1</v>
      </c>
      <c r="CZ5" s="18">
        <v>1</v>
      </c>
      <c r="DA5" s="18">
        <v>1</v>
      </c>
      <c r="DB5" s="18">
        <v>1</v>
      </c>
      <c r="DC5" s="18">
        <v>0</v>
      </c>
      <c r="DD5" s="18">
        <v>1</v>
      </c>
      <c r="DE5" s="18" t="s">
        <v>5141</v>
      </c>
      <c r="DF5" s="18" t="s">
        <v>5141</v>
      </c>
      <c r="DG5" s="18">
        <v>1</v>
      </c>
      <c r="DH5" s="18">
        <v>1</v>
      </c>
      <c r="DI5" s="18">
        <v>1</v>
      </c>
      <c r="DK5" s="18">
        <v>0</v>
      </c>
      <c r="DL5" s="18">
        <v>0</v>
      </c>
      <c r="DM5" s="18" t="s">
        <v>5127</v>
      </c>
      <c r="DN5" s="18" t="s">
        <v>5142</v>
      </c>
      <c r="DO5" s="18" t="s">
        <v>5143</v>
      </c>
      <c r="DP5" s="18" t="s">
        <v>113</v>
      </c>
      <c r="DQ5" s="18" t="s">
        <v>179</v>
      </c>
      <c r="DS5" s="18" t="s">
        <v>1426</v>
      </c>
      <c r="DT5" s="18">
        <v>0</v>
      </c>
      <c r="DU5" s="18">
        <v>1</v>
      </c>
      <c r="DV5" s="18" t="s">
        <v>5144</v>
      </c>
      <c r="DX5" s="18" t="s">
        <v>5145</v>
      </c>
      <c r="DY5" s="18" t="s">
        <v>113</v>
      </c>
      <c r="DZ5" s="18" t="s">
        <v>106</v>
      </c>
      <c r="EA5" s="18" t="s">
        <v>5146</v>
      </c>
      <c r="EB5" s="18">
        <v>85</v>
      </c>
      <c r="EC5" s="18" t="s">
        <v>106</v>
      </c>
      <c r="ED5" s="18" t="s">
        <v>5147</v>
      </c>
      <c r="EE5" s="18" t="s">
        <v>113</v>
      </c>
      <c r="EF5" s="18" t="s">
        <v>113</v>
      </c>
      <c r="EG5" s="18" t="s">
        <v>5148</v>
      </c>
      <c r="EH5" s="18" t="s">
        <v>5149</v>
      </c>
      <c r="EI5" s="18" t="s">
        <v>5150</v>
      </c>
      <c r="EJ5" s="18" t="s">
        <v>5151</v>
      </c>
      <c r="EK5" s="18" t="s">
        <v>113</v>
      </c>
      <c r="EL5" s="18" t="s">
        <v>1426</v>
      </c>
      <c r="EM5" s="18" t="s">
        <v>1426</v>
      </c>
      <c r="EN5" s="18" t="s">
        <v>113</v>
      </c>
      <c r="EO5" s="18" t="s">
        <v>113</v>
      </c>
      <c r="EP5" s="18" t="s">
        <v>113</v>
      </c>
      <c r="EQ5" s="18" t="s">
        <v>113</v>
      </c>
      <c r="ER5" s="18" t="s">
        <v>5152</v>
      </c>
      <c r="ES5" s="18" t="s">
        <v>5153</v>
      </c>
      <c r="ET5" s="18" t="s">
        <v>5154</v>
      </c>
      <c r="EU5" s="18" t="s">
        <v>5155</v>
      </c>
      <c r="EV5" s="18" t="s">
        <v>5156</v>
      </c>
      <c r="EW5" s="18" t="s">
        <v>5157</v>
      </c>
      <c r="EX5" s="18" t="s">
        <v>5158</v>
      </c>
      <c r="EY5" s="18" t="s">
        <v>5159</v>
      </c>
      <c r="EZ5" s="18" t="s">
        <v>5160</v>
      </c>
      <c r="FA5" s="18" t="s">
        <v>144</v>
      </c>
      <c r="FB5" s="18" t="s">
        <v>5161</v>
      </c>
    </row>
    <row r="6" spans="1:158" ht="10.5" customHeight="1" x14ac:dyDescent="0.2">
      <c r="A6" s="16">
        <v>41</v>
      </c>
      <c r="B6" s="16" t="s">
        <v>147</v>
      </c>
      <c r="C6" s="16" t="s">
        <v>146</v>
      </c>
      <c r="D6" s="16">
        <v>124788</v>
      </c>
      <c r="E6" s="16" t="s">
        <v>6657</v>
      </c>
      <c r="F6" s="18" t="s">
        <v>146</v>
      </c>
      <c r="G6" s="18" t="s">
        <v>106</v>
      </c>
      <c r="H6" s="15" t="s">
        <v>5127</v>
      </c>
      <c r="I6" s="18" t="s">
        <v>2511</v>
      </c>
      <c r="J6" s="18" t="s">
        <v>2511</v>
      </c>
      <c r="K6" s="18" t="s">
        <v>220</v>
      </c>
      <c r="L6" s="18" t="s">
        <v>220</v>
      </c>
      <c r="M6" s="18" t="s">
        <v>5121</v>
      </c>
      <c r="N6" s="18" t="s">
        <v>2987</v>
      </c>
      <c r="T6" s="18" t="s">
        <v>111</v>
      </c>
      <c r="U6" s="18" t="s">
        <v>5123</v>
      </c>
      <c r="V6" s="18" t="s">
        <v>113</v>
      </c>
      <c r="W6" s="18" t="s">
        <v>5124</v>
      </c>
      <c r="Y6" s="18" t="s">
        <v>5162</v>
      </c>
      <c r="Z6" s="18" t="s">
        <v>106</v>
      </c>
      <c r="AA6" s="18" t="s">
        <v>5163</v>
      </c>
      <c r="AB6" s="18" t="s">
        <v>179</v>
      </c>
      <c r="AC6" s="18" t="s">
        <v>5127</v>
      </c>
      <c r="AD6" s="18" t="s">
        <v>5127</v>
      </c>
      <c r="AE6" s="18" t="s">
        <v>5127</v>
      </c>
      <c r="AF6" s="18" t="s">
        <v>5127</v>
      </c>
      <c r="AG6" s="18" t="s">
        <v>5127</v>
      </c>
      <c r="AH6" s="18" t="s">
        <v>5127</v>
      </c>
      <c r="AI6" s="18">
        <v>1</v>
      </c>
      <c r="AK6" s="18" t="s">
        <v>5164</v>
      </c>
      <c r="AN6" s="18">
        <v>95</v>
      </c>
      <c r="AO6" s="18" t="s">
        <v>5165</v>
      </c>
      <c r="AP6" s="18" t="s">
        <v>5166</v>
      </c>
      <c r="AQ6" s="18" t="s">
        <v>5167</v>
      </c>
      <c r="AR6" s="18" t="s">
        <v>5168</v>
      </c>
      <c r="AT6" s="17">
        <f>(365*D6*0.7)/1000</f>
        <v>31883.333999999995</v>
      </c>
      <c r="AU6" s="17">
        <f t="shared" si="0"/>
        <v>63</v>
      </c>
      <c r="AV6" s="18">
        <v>63</v>
      </c>
      <c r="AW6" s="18">
        <v>0</v>
      </c>
      <c r="AY6" s="18" t="s">
        <v>164</v>
      </c>
      <c r="BG6" s="18" t="s">
        <v>5169</v>
      </c>
      <c r="BQ6" s="18">
        <v>27</v>
      </c>
      <c r="BR6" s="18">
        <v>8</v>
      </c>
      <c r="BS6" s="18">
        <v>0.6</v>
      </c>
      <c r="BT6" s="18">
        <v>26</v>
      </c>
      <c r="BU6" s="18">
        <v>1</v>
      </c>
      <c r="BV6" s="18">
        <f>SUM(BQ6:BU6)</f>
        <v>62.6</v>
      </c>
      <c r="BW6" s="15">
        <f t="shared" si="1"/>
        <v>62.6</v>
      </c>
      <c r="BY6" s="18" t="s">
        <v>5134</v>
      </c>
      <c r="BZ6" s="18" t="s">
        <v>193</v>
      </c>
      <c r="CD6" s="18" t="s">
        <v>5127</v>
      </c>
      <c r="CE6" s="18" t="s">
        <v>5127</v>
      </c>
      <c r="CF6" s="18" t="s">
        <v>5135</v>
      </c>
      <c r="CG6" s="18" t="s">
        <v>5170</v>
      </c>
      <c r="CH6" s="18" t="s">
        <v>5137</v>
      </c>
      <c r="CI6" s="18" t="s">
        <v>5138</v>
      </c>
      <c r="CJ6" s="18" t="s">
        <v>5139</v>
      </c>
      <c r="CK6" s="18" t="s">
        <v>5171</v>
      </c>
      <c r="CL6" s="18">
        <v>1</v>
      </c>
      <c r="CM6" s="18">
        <v>0</v>
      </c>
      <c r="CN6" s="18">
        <v>0</v>
      </c>
      <c r="CO6" s="18">
        <v>1</v>
      </c>
      <c r="CP6" s="18">
        <v>0</v>
      </c>
      <c r="CQ6" s="18">
        <v>1</v>
      </c>
      <c r="CR6" s="18">
        <v>0</v>
      </c>
      <c r="CS6" s="18" t="s">
        <v>5141</v>
      </c>
      <c r="CT6" s="18">
        <v>0</v>
      </c>
      <c r="CU6" s="18">
        <v>1</v>
      </c>
      <c r="CV6" s="18">
        <v>1</v>
      </c>
      <c r="CX6" s="18">
        <v>0</v>
      </c>
      <c r="CY6" s="18">
        <v>0</v>
      </c>
      <c r="CZ6" s="18">
        <v>0</v>
      </c>
      <c r="DA6" s="18">
        <v>0</v>
      </c>
      <c r="DB6" s="18">
        <v>0</v>
      </c>
      <c r="DC6" s="18">
        <v>0</v>
      </c>
      <c r="DD6" s="18">
        <v>0</v>
      </c>
      <c r="DE6" s="18">
        <v>0</v>
      </c>
      <c r="DF6" s="18">
        <v>0</v>
      </c>
      <c r="DG6" s="18">
        <v>0</v>
      </c>
      <c r="DH6" s="18">
        <v>0</v>
      </c>
      <c r="DI6" s="18">
        <v>0</v>
      </c>
      <c r="DK6" s="18">
        <v>0</v>
      </c>
      <c r="DL6" s="18">
        <v>0</v>
      </c>
      <c r="DM6" s="18" t="s">
        <v>5127</v>
      </c>
      <c r="DN6" s="18" t="s">
        <v>5172</v>
      </c>
      <c r="DO6" s="18" t="s">
        <v>5173</v>
      </c>
      <c r="DP6" s="18" t="s">
        <v>113</v>
      </c>
      <c r="DQ6" s="18" t="s">
        <v>5132</v>
      </c>
      <c r="DS6" s="18">
        <v>0</v>
      </c>
      <c r="DT6" s="18">
        <v>1</v>
      </c>
      <c r="DU6" s="18">
        <v>0</v>
      </c>
      <c r="DV6" s="18" t="s">
        <v>5174</v>
      </c>
      <c r="DX6" s="18" t="s">
        <v>5145</v>
      </c>
      <c r="DY6" s="18" t="s">
        <v>106</v>
      </c>
      <c r="DZ6" s="18" t="s">
        <v>113</v>
      </c>
      <c r="EA6" s="18" t="s">
        <v>5175</v>
      </c>
      <c r="EB6" s="18">
        <v>47</v>
      </c>
      <c r="EC6" s="18" t="s">
        <v>106</v>
      </c>
      <c r="ED6" s="18" t="s">
        <v>5176</v>
      </c>
      <c r="EE6" s="18" t="s">
        <v>113</v>
      </c>
      <c r="EF6" s="18" t="s">
        <v>113</v>
      </c>
      <c r="EG6" s="18" t="s">
        <v>5148</v>
      </c>
      <c r="EH6" s="18" t="s">
        <v>5149</v>
      </c>
      <c r="EI6" s="18" t="s">
        <v>5150</v>
      </c>
      <c r="EJ6" s="18" t="s">
        <v>5177</v>
      </c>
      <c r="EK6" s="18" t="s">
        <v>113</v>
      </c>
      <c r="EL6" s="18" t="s">
        <v>5178</v>
      </c>
      <c r="EM6" s="18" t="s">
        <v>5178</v>
      </c>
      <c r="EN6" s="18" t="s">
        <v>113</v>
      </c>
      <c r="EO6" s="18" t="s">
        <v>113</v>
      </c>
      <c r="EP6" s="18" t="s">
        <v>113</v>
      </c>
      <c r="EQ6" s="18" t="s">
        <v>113</v>
      </c>
      <c r="ER6" s="18" t="s">
        <v>5152</v>
      </c>
      <c r="ES6" s="18" t="s">
        <v>5153</v>
      </c>
      <c r="ET6" s="18" t="s">
        <v>5154</v>
      </c>
      <c r="EU6" s="18" t="s">
        <v>5155</v>
      </c>
      <c r="EV6" s="18" t="s">
        <v>5179</v>
      </c>
      <c r="EW6" s="18" t="s">
        <v>5180</v>
      </c>
      <c r="EX6" s="18" t="s">
        <v>5158</v>
      </c>
      <c r="EY6" s="18" t="s">
        <v>5181</v>
      </c>
      <c r="EZ6" s="18" t="s">
        <v>5182</v>
      </c>
      <c r="FA6" s="18" t="s">
        <v>144</v>
      </c>
    </row>
    <row r="7" spans="1:158" ht="10.5" customHeight="1" x14ac:dyDescent="0.2">
      <c r="A7" s="16">
        <v>41</v>
      </c>
      <c r="B7" s="16" t="s">
        <v>189</v>
      </c>
      <c r="C7" s="16" t="s">
        <v>188</v>
      </c>
      <c r="D7" s="16">
        <v>3543</v>
      </c>
      <c r="E7" s="16" t="s">
        <v>6656</v>
      </c>
      <c r="F7" s="18" t="s">
        <v>188</v>
      </c>
      <c r="G7" s="18" t="s">
        <v>113</v>
      </c>
      <c r="H7" s="15" t="s">
        <v>111</v>
      </c>
      <c r="AT7" s="17">
        <f>(365*D7*0.7)/1000</f>
        <v>905.23649999999998</v>
      </c>
      <c r="AU7" s="17">
        <f t="shared" si="0"/>
        <v>0</v>
      </c>
      <c r="BW7" s="15">
        <f t="shared" si="1"/>
        <v>0</v>
      </c>
    </row>
    <row r="8" spans="1:158" ht="10.5" customHeight="1" x14ac:dyDescent="0.2">
      <c r="A8" s="16">
        <v>41</v>
      </c>
      <c r="B8" s="16" t="s">
        <v>227</v>
      </c>
      <c r="C8" s="16" t="s">
        <v>226</v>
      </c>
      <c r="D8" s="16">
        <v>3077</v>
      </c>
      <c r="E8" s="16" t="s">
        <v>6656</v>
      </c>
      <c r="H8" s="15" t="s">
        <v>6661</v>
      </c>
      <c r="AT8" s="17">
        <f>(365*D8*0.7)/1000</f>
        <v>786.17349999999999</v>
      </c>
      <c r="AU8" s="17">
        <f t="shared" si="0"/>
        <v>0</v>
      </c>
      <c r="BW8" s="15">
        <f t="shared" si="1"/>
        <v>0</v>
      </c>
    </row>
    <row r="9" spans="1:158" ht="10.5" customHeight="1" x14ac:dyDescent="0.2">
      <c r="A9" s="16">
        <v>41</v>
      </c>
      <c r="B9" s="16" t="s">
        <v>253</v>
      </c>
      <c r="C9" s="16" t="s">
        <v>252</v>
      </c>
      <c r="D9" s="16">
        <v>14138</v>
      </c>
      <c r="E9" s="16" t="s">
        <v>6656</v>
      </c>
      <c r="F9" s="18" t="s">
        <v>252</v>
      </c>
      <c r="G9" s="18" t="s">
        <v>113</v>
      </c>
      <c r="H9" s="15" t="s">
        <v>111</v>
      </c>
      <c r="AT9" s="17">
        <f>(365*D9*0.7)/1000</f>
        <v>3612.259</v>
      </c>
      <c r="AU9" s="17">
        <f t="shared" si="0"/>
        <v>0</v>
      </c>
      <c r="BW9" s="15">
        <f t="shared" si="1"/>
        <v>0</v>
      </c>
    </row>
    <row r="10" spans="1:158" ht="10.5" customHeight="1" x14ac:dyDescent="0.2">
      <c r="A10" s="16">
        <v>41</v>
      </c>
      <c r="B10" s="16" t="s">
        <v>253</v>
      </c>
      <c r="C10" s="16" t="s">
        <v>252</v>
      </c>
      <c r="D10" s="16">
        <v>14138</v>
      </c>
      <c r="E10" s="16" t="s">
        <v>6656</v>
      </c>
      <c r="F10" s="18" t="s">
        <v>252</v>
      </c>
      <c r="G10" s="18" t="s">
        <v>106</v>
      </c>
      <c r="H10" s="15" t="s">
        <v>5127</v>
      </c>
      <c r="I10" s="18">
        <v>18</v>
      </c>
      <c r="J10" s="18">
        <v>14</v>
      </c>
      <c r="K10" s="18" t="s">
        <v>4819</v>
      </c>
      <c r="L10" s="18">
        <v>0</v>
      </c>
      <c r="M10" s="18" t="s">
        <v>5183</v>
      </c>
      <c r="N10" s="18" t="s">
        <v>5184</v>
      </c>
      <c r="O10" s="18">
        <v>45979</v>
      </c>
      <c r="T10" s="18" t="s">
        <v>111</v>
      </c>
      <c r="U10" s="18" t="s">
        <v>5185</v>
      </c>
      <c r="V10" s="18" t="s">
        <v>106</v>
      </c>
      <c r="W10" s="18" t="s">
        <v>5124</v>
      </c>
      <c r="Y10" s="18" t="s">
        <v>5162</v>
      </c>
      <c r="Z10" s="18" t="s">
        <v>113</v>
      </c>
      <c r="AA10" s="18" t="s">
        <v>5163</v>
      </c>
      <c r="AB10" s="18" t="s">
        <v>179</v>
      </c>
      <c r="AC10" s="18" t="s">
        <v>111</v>
      </c>
      <c r="AD10" s="18" t="s">
        <v>111</v>
      </c>
      <c r="AE10" s="18" t="s">
        <v>111</v>
      </c>
      <c r="AF10" s="18" t="s">
        <v>111</v>
      </c>
      <c r="AG10" s="18" t="s">
        <v>5127</v>
      </c>
      <c r="AH10" s="18" t="s">
        <v>111</v>
      </c>
      <c r="AI10" s="18">
        <v>1</v>
      </c>
      <c r="AK10" s="18" t="s">
        <v>5164</v>
      </c>
      <c r="AN10" s="18">
        <v>960000</v>
      </c>
      <c r="AO10" s="18" t="s">
        <v>5186</v>
      </c>
      <c r="AP10" s="18" t="s">
        <v>5187</v>
      </c>
      <c r="AQ10" s="18" t="s">
        <v>5188</v>
      </c>
      <c r="AR10" s="18" t="s">
        <v>5168</v>
      </c>
      <c r="AT10" s="17">
        <f>(365*D10*0.7)/1000</f>
        <v>3612.259</v>
      </c>
      <c r="AU10" s="17">
        <f t="shared" si="0"/>
        <v>420</v>
      </c>
      <c r="AV10" s="18">
        <f>420000/1000</f>
        <v>420</v>
      </c>
      <c r="AW10" s="18" t="s">
        <v>220</v>
      </c>
      <c r="AY10" s="18" t="s">
        <v>5189</v>
      </c>
      <c r="BD10" s="18">
        <f>200/1000</f>
        <v>0.2</v>
      </c>
      <c r="BG10" s="18" t="s">
        <v>5190</v>
      </c>
      <c r="BI10" s="18">
        <v>0</v>
      </c>
      <c r="BQ10" s="18">
        <v>132</v>
      </c>
      <c r="BR10" s="18">
        <v>144</v>
      </c>
      <c r="BS10" s="18">
        <v>120</v>
      </c>
      <c r="BT10" s="18">
        <v>126</v>
      </c>
      <c r="BU10" s="18">
        <v>180</v>
      </c>
      <c r="BV10" s="18">
        <f>SUM(BQ10:BU10)</f>
        <v>702</v>
      </c>
      <c r="BW10" s="15">
        <f t="shared" si="1"/>
        <v>702</v>
      </c>
      <c r="BY10" s="18" t="s">
        <v>5191</v>
      </c>
      <c r="BZ10" s="18" t="s">
        <v>5192</v>
      </c>
      <c r="CD10" s="18" t="s">
        <v>5127</v>
      </c>
      <c r="CE10" s="18" t="s">
        <v>111</v>
      </c>
      <c r="CF10" s="18" t="s">
        <v>5135</v>
      </c>
      <c r="CG10" s="18" t="s">
        <v>5193</v>
      </c>
      <c r="CH10" s="18" t="s">
        <v>5194</v>
      </c>
      <c r="CI10" s="18" t="s">
        <v>5195</v>
      </c>
      <c r="CJ10" s="18" t="s">
        <v>5196</v>
      </c>
      <c r="CK10" s="18" t="s">
        <v>5197</v>
      </c>
      <c r="CL10" s="18">
        <v>1</v>
      </c>
      <c r="CM10" s="18">
        <v>0</v>
      </c>
      <c r="CN10" s="18">
        <v>0</v>
      </c>
      <c r="CO10" s="18">
        <v>2</v>
      </c>
      <c r="CP10" s="18">
        <v>1</v>
      </c>
      <c r="CQ10" s="18">
        <v>0</v>
      </c>
      <c r="CR10" s="18">
        <v>0</v>
      </c>
      <c r="CS10" s="18">
        <v>4</v>
      </c>
      <c r="CT10" s="18">
        <v>0</v>
      </c>
      <c r="CU10" s="18">
        <v>2</v>
      </c>
      <c r="CV10" s="18">
        <v>4</v>
      </c>
      <c r="CX10" s="18">
        <v>1</v>
      </c>
      <c r="CY10" s="18">
        <v>2</v>
      </c>
      <c r="CZ10" s="18">
        <v>0</v>
      </c>
      <c r="DA10" s="18">
        <v>1</v>
      </c>
      <c r="DB10" s="18">
        <v>1</v>
      </c>
      <c r="DC10" s="18">
        <v>1</v>
      </c>
      <c r="DD10" s="18">
        <v>1</v>
      </c>
      <c r="DE10" s="18">
        <v>1</v>
      </c>
      <c r="DF10" s="18" t="s">
        <v>5141</v>
      </c>
      <c r="DG10" s="18">
        <v>1</v>
      </c>
      <c r="DH10" s="18">
        <v>2</v>
      </c>
      <c r="DI10" s="18" t="s">
        <v>5141</v>
      </c>
      <c r="DK10" s="18">
        <v>0</v>
      </c>
      <c r="DL10" s="18">
        <v>0</v>
      </c>
      <c r="DM10" s="18" t="s">
        <v>111</v>
      </c>
      <c r="DN10" s="18" t="s">
        <v>5198</v>
      </c>
      <c r="DO10" s="18" t="s">
        <v>5199</v>
      </c>
      <c r="DP10" s="18" t="s">
        <v>113</v>
      </c>
      <c r="DQ10" s="18" t="s">
        <v>5168</v>
      </c>
      <c r="DS10" s="18" t="s">
        <v>220</v>
      </c>
      <c r="DT10" s="18">
        <v>1</v>
      </c>
      <c r="DU10" s="18">
        <v>1</v>
      </c>
      <c r="DV10" s="18" t="s">
        <v>5200</v>
      </c>
      <c r="DX10" s="18" t="s">
        <v>5201</v>
      </c>
      <c r="DY10" s="18" t="s">
        <v>106</v>
      </c>
      <c r="DZ10" s="18" t="s">
        <v>113</v>
      </c>
      <c r="EA10" s="18" t="s">
        <v>5202</v>
      </c>
      <c r="EB10" s="18">
        <v>540000</v>
      </c>
      <c r="EC10" s="18" t="s">
        <v>106</v>
      </c>
      <c r="ED10" s="18" t="s">
        <v>5176</v>
      </c>
      <c r="EE10" s="18" t="s">
        <v>106</v>
      </c>
      <c r="EF10" s="18" t="s">
        <v>113</v>
      </c>
      <c r="EG10" s="18" t="s">
        <v>5148</v>
      </c>
      <c r="EH10" s="18" t="s">
        <v>5203</v>
      </c>
      <c r="EI10" s="18" t="s">
        <v>5204</v>
      </c>
      <c r="EJ10" s="18" t="s">
        <v>5205</v>
      </c>
      <c r="EK10" s="18" t="s">
        <v>113</v>
      </c>
      <c r="EM10" s="18" t="s">
        <v>5155</v>
      </c>
      <c r="EN10" s="18" t="s">
        <v>113</v>
      </c>
      <c r="EO10" s="18" t="s">
        <v>113</v>
      </c>
      <c r="EP10" s="18" t="s">
        <v>113</v>
      </c>
      <c r="EQ10" s="18" t="s">
        <v>113</v>
      </c>
      <c r="ER10" s="18" t="s">
        <v>5206</v>
      </c>
      <c r="ES10" s="18" t="s">
        <v>5153</v>
      </c>
      <c r="ET10" s="18" t="s">
        <v>5154</v>
      </c>
      <c r="EU10" s="18" t="s">
        <v>5155</v>
      </c>
      <c r="EV10" s="18" t="s">
        <v>5207</v>
      </c>
      <c r="EW10" s="18" t="s">
        <v>5208</v>
      </c>
      <c r="EX10" s="18" t="s">
        <v>5158</v>
      </c>
      <c r="EY10" s="18" t="s">
        <v>5181</v>
      </c>
      <c r="EZ10" s="18" t="s">
        <v>5209</v>
      </c>
      <c r="FA10" s="18" t="s">
        <v>144</v>
      </c>
      <c r="FB10" s="18" t="s">
        <v>5161</v>
      </c>
    </row>
    <row r="11" spans="1:158" ht="10.5" customHeight="1" x14ac:dyDescent="0.2">
      <c r="A11" s="16">
        <v>41</v>
      </c>
      <c r="B11" s="16" t="s">
        <v>287</v>
      </c>
      <c r="C11" s="16" t="s">
        <v>286</v>
      </c>
      <c r="D11" s="16">
        <v>9802</v>
      </c>
      <c r="E11" s="16" t="s">
        <v>6656</v>
      </c>
      <c r="F11" s="18" t="s">
        <v>286</v>
      </c>
      <c r="G11" s="18" t="s">
        <v>106</v>
      </c>
      <c r="H11" s="15" t="s">
        <v>5127</v>
      </c>
      <c r="I11" s="18">
        <v>15</v>
      </c>
      <c r="J11" s="18">
        <v>9</v>
      </c>
      <c r="K11" s="18">
        <v>6</v>
      </c>
      <c r="L11" s="18">
        <v>0</v>
      </c>
      <c r="M11" s="18" t="s">
        <v>5183</v>
      </c>
      <c r="N11" s="18" t="s">
        <v>5210</v>
      </c>
      <c r="O11" s="18">
        <v>46321</v>
      </c>
      <c r="T11" s="18" t="s">
        <v>111</v>
      </c>
      <c r="U11" s="18" t="s">
        <v>5123</v>
      </c>
      <c r="V11" s="18" t="s">
        <v>106</v>
      </c>
      <c r="W11" s="18" t="s">
        <v>5211</v>
      </c>
      <c r="Y11" s="18" t="s">
        <v>5212</v>
      </c>
      <c r="Z11" s="18" t="s">
        <v>113</v>
      </c>
      <c r="AA11" s="18" t="s">
        <v>5163</v>
      </c>
      <c r="AB11" s="18" t="s">
        <v>5213</v>
      </c>
      <c r="AC11" s="18" t="s">
        <v>111</v>
      </c>
      <c r="AD11" s="18" t="s">
        <v>5127</v>
      </c>
      <c r="AE11" s="18" t="s">
        <v>5127</v>
      </c>
      <c r="AF11" s="18" t="s">
        <v>5127</v>
      </c>
      <c r="AG11" s="18" t="s">
        <v>5127</v>
      </c>
      <c r="AH11" s="18" t="s">
        <v>111</v>
      </c>
      <c r="AI11" s="18">
        <v>1</v>
      </c>
      <c r="AK11" s="18" t="s">
        <v>5164</v>
      </c>
      <c r="AN11" s="18" t="s">
        <v>5214</v>
      </c>
      <c r="AO11" s="18" t="s">
        <v>5165</v>
      </c>
      <c r="AP11" s="18" t="s">
        <v>5215</v>
      </c>
      <c r="AQ11" s="18" t="s">
        <v>5216</v>
      </c>
      <c r="AR11" s="18" t="s">
        <v>5132</v>
      </c>
      <c r="AT11" s="17">
        <f>(365*D11*0.7)/1000</f>
        <v>2504.4110000000001</v>
      </c>
      <c r="AU11" s="17">
        <f t="shared" si="0"/>
        <v>1.2</v>
      </c>
      <c r="AV11" s="18">
        <f>1200/1000</f>
        <v>1.2</v>
      </c>
      <c r="AW11" s="18" t="s">
        <v>220</v>
      </c>
      <c r="AY11" s="18" t="s">
        <v>5217</v>
      </c>
      <c r="AZ11" s="18">
        <v>0</v>
      </c>
      <c r="BA11" s="18">
        <v>0</v>
      </c>
      <c r="BB11" s="18">
        <v>300</v>
      </c>
      <c r="BD11" s="18">
        <v>0</v>
      </c>
      <c r="BE11" s="18">
        <v>0</v>
      </c>
      <c r="BG11" s="18" t="s">
        <v>5218</v>
      </c>
      <c r="BH11" s="18">
        <f>300/1000</f>
        <v>0.3</v>
      </c>
      <c r="BI11" s="18">
        <v>0</v>
      </c>
      <c r="BJ11" s="18">
        <v>0</v>
      </c>
      <c r="BQ11" s="18">
        <v>3.8</v>
      </c>
      <c r="BR11" s="18">
        <v>6.45</v>
      </c>
      <c r="BS11" s="18">
        <v>15</v>
      </c>
      <c r="BT11" s="18">
        <v>10</v>
      </c>
      <c r="BU11" s="18">
        <v>1</v>
      </c>
      <c r="BV11" s="18">
        <f>SUM(BQ11:BU11)</f>
        <v>36.25</v>
      </c>
      <c r="BW11" s="15">
        <f t="shared" si="1"/>
        <v>36.25</v>
      </c>
      <c r="BY11" s="18" t="s">
        <v>5134</v>
      </c>
      <c r="BZ11" s="18" t="s">
        <v>193</v>
      </c>
      <c r="CD11" s="18" t="s">
        <v>5127</v>
      </c>
      <c r="CE11" s="18" t="s">
        <v>5127</v>
      </c>
      <c r="CF11" s="18" t="s">
        <v>5135</v>
      </c>
      <c r="CG11" s="18" t="s">
        <v>5219</v>
      </c>
      <c r="CH11" s="18" t="s">
        <v>111</v>
      </c>
      <c r="CI11" s="18" t="s">
        <v>5138</v>
      </c>
      <c r="CJ11" s="18" t="s">
        <v>5139</v>
      </c>
      <c r="CK11" s="18" t="s">
        <v>5171</v>
      </c>
      <c r="CL11" s="18">
        <v>2</v>
      </c>
      <c r="CM11" s="18">
        <v>1</v>
      </c>
      <c r="CN11" s="18">
        <v>0</v>
      </c>
      <c r="CO11" s="18">
        <v>0</v>
      </c>
      <c r="CP11" s="18">
        <v>1</v>
      </c>
      <c r="CQ11" s="18">
        <v>1</v>
      </c>
      <c r="CR11" s="18">
        <v>0</v>
      </c>
      <c r="CS11" s="18" t="s">
        <v>5141</v>
      </c>
      <c r="CT11" s="18">
        <v>0</v>
      </c>
      <c r="CU11" s="18">
        <v>0</v>
      </c>
      <c r="CV11" s="18">
        <v>1</v>
      </c>
      <c r="CX11" s="18">
        <v>0</v>
      </c>
      <c r="CY11" s="18">
        <v>1</v>
      </c>
      <c r="CZ11" s="18">
        <v>0</v>
      </c>
      <c r="DA11" s="18">
        <v>0</v>
      </c>
      <c r="DB11" s="18">
        <v>1</v>
      </c>
      <c r="DC11" s="18">
        <v>0</v>
      </c>
      <c r="DD11" s="18">
        <v>0</v>
      </c>
      <c r="DE11" s="18" t="s">
        <v>5141</v>
      </c>
      <c r="DF11" s="18" t="s">
        <v>5141</v>
      </c>
      <c r="DG11" s="18">
        <v>1</v>
      </c>
      <c r="DH11" s="18">
        <v>0</v>
      </c>
      <c r="DI11" s="18">
        <v>5</v>
      </c>
      <c r="DK11" s="18">
        <v>0</v>
      </c>
      <c r="DL11" s="18">
        <v>1</v>
      </c>
      <c r="DM11" s="18" t="s">
        <v>5127</v>
      </c>
      <c r="DN11" s="18" t="s">
        <v>5172</v>
      </c>
      <c r="DO11" s="18" t="s">
        <v>5220</v>
      </c>
      <c r="DP11" s="18" t="s">
        <v>106</v>
      </c>
      <c r="DQ11" s="18" t="s">
        <v>5221</v>
      </c>
      <c r="DS11" s="18" t="s">
        <v>220</v>
      </c>
      <c r="DT11" s="18">
        <v>0</v>
      </c>
      <c r="DU11" s="18">
        <v>2</v>
      </c>
      <c r="DV11" s="18" t="s">
        <v>5144</v>
      </c>
      <c r="DX11" s="18" t="s">
        <v>5222</v>
      </c>
      <c r="DY11" s="18" t="s">
        <v>106</v>
      </c>
      <c r="DZ11" s="18" t="s">
        <v>113</v>
      </c>
      <c r="EA11" s="18" t="s">
        <v>5223</v>
      </c>
      <c r="EB11" s="18" t="s">
        <v>5224</v>
      </c>
      <c r="EC11" s="18" t="s">
        <v>113</v>
      </c>
      <c r="ED11" s="18" t="s">
        <v>5147</v>
      </c>
      <c r="EE11" s="18" t="s">
        <v>113</v>
      </c>
      <c r="EF11" s="18" t="s">
        <v>113</v>
      </c>
      <c r="EG11" s="18" t="s">
        <v>5148</v>
      </c>
      <c r="EH11" s="18" t="s">
        <v>5203</v>
      </c>
      <c r="EI11" s="18" t="s">
        <v>5150</v>
      </c>
      <c r="EJ11" s="18" t="s">
        <v>5225</v>
      </c>
      <c r="EK11" s="18" t="s">
        <v>113</v>
      </c>
      <c r="EL11" s="18" t="s">
        <v>5226</v>
      </c>
      <c r="EM11" s="18" t="s">
        <v>5227</v>
      </c>
      <c r="EN11" s="18" t="s">
        <v>106</v>
      </c>
      <c r="EO11" s="18" t="s">
        <v>106</v>
      </c>
      <c r="EP11" s="18" t="s">
        <v>113</v>
      </c>
      <c r="EQ11" s="18" t="s">
        <v>106</v>
      </c>
      <c r="ER11" s="18" t="s">
        <v>5152</v>
      </c>
      <c r="ES11" s="18" t="s">
        <v>5153</v>
      </c>
      <c r="ET11" s="18" t="s">
        <v>5154</v>
      </c>
      <c r="EU11" s="18" t="s">
        <v>5155</v>
      </c>
      <c r="EV11" s="18" t="s">
        <v>5228</v>
      </c>
      <c r="EW11" s="18" t="s">
        <v>179</v>
      </c>
      <c r="EX11" s="18" t="s">
        <v>5158</v>
      </c>
      <c r="EY11" s="18" t="s">
        <v>5229</v>
      </c>
      <c r="EZ11" s="18" t="s">
        <v>5160</v>
      </c>
      <c r="FA11" s="18" t="s">
        <v>144</v>
      </c>
      <c r="FB11" s="18" t="s">
        <v>5161</v>
      </c>
    </row>
    <row r="12" spans="1:158" ht="10.5" customHeight="1" x14ac:dyDescent="0.2">
      <c r="A12" s="16">
        <v>41</v>
      </c>
      <c r="B12" s="16" t="s">
        <v>312</v>
      </c>
      <c r="C12" s="16" t="s">
        <v>311</v>
      </c>
      <c r="D12" s="16">
        <v>18750</v>
      </c>
      <c r="E12" s="16" t="s">
        <v>6658</v>
      </c>
      <c r="F12" s="18" t="s">
        <v>311</v>
      </c>
      <c r="G12" s="18" t="s">
        <v>106</v>
      </c>
      <c r="H12" s="15" t="s">
        <v>5127</v>
      </c>
      <c r="I12" s="18">
        <v>15</v>
      </c>
      <c r="J12" s="18">
        <v>4</v>
      </c>
      <c r="K12" s="18">
        <v>11</v>
      </c>
      <c r="L12" s="18">
        <v>0</v>
      </c>
      <c r="M12" s="18" t="s">
        <v>5230</v>
      </c>
      <c r="N12" s="18" t="s">
        <v>5231</v>
      </c>
      <c r="O12" s="18">
        <v>46443</v>
      </c>
      <c r="T12" s="18" t="s">
        <v>111</v>
      </c>
      <c r="U12" s="18" t="s">
        <v>5123</v>
      </c>
      <c r="V12" s="18" t="s">
        <v>106</v>
      </c>
      <c r="W12" s="18" t="s">
        <v>113</v>
      </c>
      <c r="Y12" s="18" t="s">
        <v>5232</v>
      </c>
      <c r="Z12" s="18" t="s">
        <v>106</v>
      </c>
      <c r="AA12" s="18" t="s">
        <v>5163</v>
      </c>
      <c r="AB12" s="18" t="s">
        <v>5233</v>
      </c>
      <c r="AC12" s="18" t="s">
        <v>5127</v>
      </c>
      <c r="AD12" s="18" t="s">
        <v>5127</v>
      </c>
      <c r="AE12" s="18" t="s">
        <v>5127</v>
      </c>
      <c r="AF12" s="18" t="s">
        <v>5127</v>
      </c>
      <c r="AG12" s="18" t="s">
        <v>5127</v>
      </c>
      <c r="AH12" s="18" t="s">
        <v>5127</v>
      </c>
      <c r="AI12" s="18">
        <v>1</v>
      </c>
      <c r="AK12" s="18" t="s">
        <v>5164</v>
      </c>
      <c r="AN12" s="18" t="s">
        <v>5234</v>
      </c>
      <c r="AO12" s="18" t="s">
        <v>5186</v>
      </c>
      <c r="AP12" s="18" t="s">
        <v>5235</v>
      </c>
      <c r="AQ12" s="18" t="s">
        <v>5236</v>
      </c>
      <c r="AR12" s="18" t="s">
        <v>5168</v>
      </c>
      <c r="AT12" s="17">
        <f>(365*D12*0.7)/1000</f>
        <v>4790.625</v>
      </c>
      <c r="AU12" s="17">
        <f t="shared" si="0"/>
        <v>53.216999999999999</v>
      </c>
      <c r="AV12" s="18">
        <f>53217/1000</f>
        <v>53.216999999999999</v>
      </c>
      <c r="AW12" s="18">
        <v>0</v>
      </c>
      <c r="AY12" s="18" t="s">
        <v>5237</v>
      </c>
      <c r="AZ12" s="18">
        <v>0</v>
      </c>
      <c r="BA12" s="18">
        <v>0</v>
      </c>
      <c r="BB12" s="18">
        <v>0</v>
      </c>
      <c r="BD12" s="18">
        <v>0</v>
      </c>
      <c r="BE12" s="18">
        <v>0</v>
      </c>
      <c r="BG12" s="18" t="s">
        <v>5238</v>
      </c>
      <c r="BH12" s="18">
        <v>0</v>
      </c>
      <c r="BI12" s="18">
        <v>0</v>
      </c>
      <c r="BJ12" s="18">
        <v>0</v>
      </c>
      <c r="BQ12" s="18">
        <v>200</v>
      </c>
      <c r="BR12" s="18">
        <v>130</v>
      </c>
      <c r="BS12" s="18">
        <v>90</v>
      </c>
      <c r="BT12" s="18">
        <v>100</v>
      </c>
      <c r="BU12" s="18">
        <v>250</v>
      </c>
      <c r="BV12" s="18">
        <f>SUM(BQ12:BU12)</f>
        <v>770</v>
      </c>
      <c r="BW12" s="15">
        <f t="shared" si="1"/>
        <v>770</v>
      </c>
      <c r="BY12" s="18" t="s">
        <v>5239</v>
      </c>
      <c r="BZ12" s="18" t="s">
        <v>5240</v>
      </c>
      <c r="CD12" s="18" t="s">
        <v>5127</v>
      </c>
      <c r="CE12" s="18" t="s">
        <v>111</v>
      </c>
      <c r="CF12" s="18" t="s">
        <v>5135</v>
      </c>
      <c r="CG12" s="18" t="s">
        <v>5193</v>
      </c>
      <c r="CH12" s="18" t="s">
        <v>5241</v>
      </c>
      <c r="CI12" s="18" t="s">
        <v>5138</v>
      </c>
      <c r="CJ12" s="18" t="s">
        <v>5196</v>
      </c>
      <c r="CK12" s="18" t="s">
        <v>179</v>
      </c>
      <c r="CL12" s="18">
        <v>2</v>
      </c>
      <c r="CM12" s="18">
        <v>0</v>
      </c>
      <c r="CN12" s="18">
        <v>0</v>
      </c>
      <c r="CO12" s="18">
        <v>1</v>
      </c>
      <c r="CP12" s="18">
        <v>2</v>
      </c>
      <c r="CQ12" s="18">
        <v>1</v>
      </c>
      <c r="CR12" s="18">
        <v>0</v>
      </c>
      <c r="CS12" s="18">
        <v>0</v>
      </c>
      <c r="CT12" s="18">
        <v>1</v>
      </c>
      <c r="CU12" s="18">
        <v>0</v>
      </c>
      <c r="CV12" s="18" t="s">
        <v>5141</v>
      </c>
      <c r="CX12" s="18">
        <v>0</v>
      </c>
      <c r="CY12" s="18">
        <v>0</v>
      </c>
      <c r="CZ12" s="18">
        <v>1</v>
      </c>
      <c r="DA12" s="18">
        <v>1</v>
      </c>
      <c r="DB12" s="18">
        <v>0</v>
      </c>
      <c r="DC12" s="18">
        <v>0</v>
      </c>
      <c r="DD12" s="18">
        <v>0</v>
      </c>
      <c r="DE12" s="18">
        <v>0</v>
      </c>
      <c r="DF12" s="18">
        <v>0</v>
      </c>
      <c r="DG12" s="18">
        <v>0</v>
      </c>
      <c r="DH12" s="18">
        <v>1</v>
      </c>
      <c r="DI12" s="18">
        <v>0</v>
      </c>
      <c r="DK12" s="18">
        <v>0</v>
      </c>
      <c r="DL12" s="18">
        <v>0</v>
      </c>
      <c r="DM12" s="18" t="s">
        <v>5127</v>
      </c>
      <c r="DN12" s="18" t="s">
        <v>5172</v>
      </c>
      <c r="DO12" s="18" t="s">
        <v>5242</v>
      </c>
      <c r="DP12" s="18" t="s">
        <v>113</v>
      </c>
      <c r="DS12" s="18">
        <v>0</v>
      </c>
      <c r="DT12" s="18">
        <v>1</v>
      </c>
      <c r="DU12" s="18">
        <v>0</v>
      </c>
      <c r="DV12" s="18" t="s">
        <v>5144</v>
      </c>
      <c r="DX12" s="18" t="s">
        <v>5201</v>
      </c>
      <c r="DY12" s="18" t="s">
        <v>106</v>
      </c>
      <c r="DZ12" s="18" t="s">
        <v>106</v>
      </c>
      <c r="EA12" s="18" t="s">
        <v>5243</v>
      </c>
      <c r="EB12" s="18" t="s">
        <v>5244</v>
      </c>
      <c r="EC12" s="18" t="s">
        <v>106</v>
      </c>
      <c r="ED12" s="18" t="s">
        <v>5176</v>
      </c>
      <c r="EE12" s="18" t="s">
        <v>113</v>
      </c>
      <c r="EF12" s="18" t="s">
        <v>106</v>
      </c>
      <c r="EG12" s="18" t="s">
        <v>5148</v>
      </c>
      <c r="EH12" s="18" t="s">
        <v>5203</v>
      </c>
      <c r="EI12" s="18" t="s">
        <v>5204</v>
      </c>
      <c r="EJ12" s="18" t="s">
        <v>5245</v>
      </c>
      <c r="EK12" s="18" t="s">
        <v>113</v>
      </c>
      <c r="EN12" s="18" t="s">
        <v>113</v>
      </c>
      <c r="EO12" s="18" t="s">
        <v>113</v>
      </c>
      <c r="EP12" s="18" t="s">
        <v>113</v>
      </c>
      <c r="EQ12" s="18" t="s">
        <v>113</v>
      </c>
      <c r="ER12" s="18" t="s">
        <v>5152</v>
      </c>
      <c r="ES12" s="18" t="s">
        <v>5153</v>
      </c>
      <c r="ET12" s="18" t="s">
        <v>5154</v>
      </c>
      <c r="EU12" s="18" t="s">
        <v>5155</v>
      </c>
      <c r="EV12" s="18" t="s">
        <v>5246</v>
      </c>
      <c r="EW12" s="18" t="s">
        <v>5247</v>
      </c>
      <c r="EX12" s="18" t="s">
        <v>5158</v>
      </c>
      <c r="EY12" s="18" t="s">
        <v>5248</v>
      </c>
      <c r="EZ12" s="18" t="s">
        <v>5160</v>
      </c>
    </row>
    <row r="13" spans="1:158" ht="10.5" customHeight="1" x14ac:dyDescent="0.2">
      <c r="A13" s="16">
        <v>41</v>
      </c>
      <c r="B13" s="16" t="s">
        <v>331</v>
      </c>
      <c r="C13" s="16" t="s">
        <v>330</v>
      </c>
      <c r="D13" s="16">
        <v>10478</v>
      </c>
      <c r="E13" s="16" t="s">
        <v>6656</v>
      </c>
      <c r="F13" s="18" t="s">
        <v>330</v>
      </c>
      <c r="G13" s="18" t="s">
        <v>106</v>
      </c>
      <c r="H13" s="15" t="s">
        <v>5127</v>
      </c>
      <c r="I13" s="18">
        <v>13</v>
      </c>
      <c r="J13" s="18">
        <v>11</v>
      </c>
      <c r="K13" s="18">
        <v>2</v>
      </c>
      <c r="L13" s="18">
        <v>0</v>
      </c>
      <c r="M13" s="18" t="s">
        <v>5183</v>
      </c>
      <c r="N13" s="18" t="s">
        <v>5249</v>
      </c>
      <c r="O13" s="18">
        <v>46583</v>
      </c>
      <c r="T13" s="18" t="s">
        <v>111</v>
      </c>
      <c r="U13" s="18" t="s">
        <v>5250</v>
      </c>
      <c r="V13" s="18" t="s">
        <v>113</v>
      </c>
      <c r="W13" s="18" t="s">
        <v>5124</v>
      </c>
      <c r="Y13" s="18" t="s">
        <v>5162</v>
      </c>
      <c r="Z13" s="18" t="s">
        <v>113</v>
      </c>
      <c r="AA13" s="18" t="s">
        <v>5163</v>
      </c>
      <c r="AB13" s="18" t="s">
        <v>179</v>
      </c>
      <c r="AC13" s="18" t="s">
        <v>111</v>
      </c>
      <c r="AD13" s="18" t="s">
        <v>111</v>
      </c>
      <c r="AE13" s="18" t="s">
        <v>111</v>
      </c>
      <c r="AF13" s="18" t="s">
        <v>111</v>
      </c>
      <c r="AG13" s="18" t="s">
        <v>5127</v>
      </c>
      <c r="AH13" s="18" t="s">
        <v>111</v>
      </c>
      <c r="AI13" s="18">
        <v>1</v>
      </c>
      <c r="AK13" s="18" t="s">
        <v>5164</v>
      </c>
      <c r="AN13" s="18">
        <v>436000</v>
      </c>
      <c r="AO13" s="18" t="s">
        <v>5186</v>
      </c>
      <c r="AP13" s="18" t="s">
        <v>5251</v>
      </c>
      <c r="AQ13" s="18" t="s">
        <v>5252</v>
      </c>
      <c r="AR13" s="18" t="s">
        <v>5168</v>
      </c>
      <c r="AT13" s="17">
        <f>(365*D13*0.7)/1000</f>
        <v>2677.1289999999999</v>
      </c>
      <c r="AU13" s="17">
        <f t="shared" si="0"/>
        <v>96</v>
      </c>
      <c r="AV13" s="18">
        <f>96000/1000</f>
        <v>96</v>
      </c>
      <c r="AW13" s="18">
        <v>0</v>
      </c>
      <c r="AY13" s="18" t="s">
        <v>5253</v>
      </c>
      <c r="AZ13" s="18">
        <v>0</v>
      </c>
      <c r="BA13" s="18">
        <v>0</v>
      </c>
      <c r="BB13" s="18">
        <v>0</v>
      </c>
      <c r="BD13" s="18">
        <v>0</v>
      </c>
      <c r="BE13" s="18">
        <v>0</v>
      </c>
      <c r="BG13" s="18" t="s">
        <v>5133</v>
      </c>
      <c r="BH13" s="18">
        <v>0</v>
      </c>
      <c r="BI13" s="18">
        <v>0</v>
      </c>
      <c r="BJ13" s="18">
        <v>0</v>
      </c>
      <c r="BQ13" s="18">
        <v>0</v>
      </c>
      <c r="BR13" s="18">
        <v>0</v>
      </c>
      <c r="BS13" s="18">
        <v>0</v>
      </c>
      <c r="BT13" s="18">
        <v>0</v>
      </c>
      <c r="BU13" s="18">
        <v>0</v>
      </c>
      <c r="BV13" s="18">
        <v>336</v>
      </c>
      <c r="BW13" s="15">
        <f t="shared" si="1"/>
        <v>0</v>
      </c>
      <c r="BY13" s="18" t="s">
        <v>5254</v>
      </c>
      <c r="BZ13" s="18" t="s">
        <v>193</v>
      </c>
      <c r="CD13" s="18" t="s">
        <v>5127</v>
      </c>
      <c r="CE13" s="18" t="s">
        <v>111</v>
      </c>
      <c r="CF13" s="18" t="s">
        <v>5135</v>
      </c>
      <c r="CG13" s="18" t="s">
        <v>5255</v>
      </c>
      <c r="CH13" s="18" t="s">
        <v>5241</v>
      </c>
      <c r="CI13" s="18" t="s">
        <v>111</v>
      </c>
      <c r="CJ13" s="18" t="s">
        <v>5196</v>
      </c>
      <c r="CK13" s="18" t="s">
        <v>5256</v>
      </c>
      <c r="CL13" s="18">
        <v>1</v>
      </c>
      <c r="CM13" s="18">
        <v>0</v>
      </c>
      <c r="CN13" s="18">
        <v>0</v>
      </c>
      <c r="CO13" s="18">
        <v>1</v>
      </c>
      <c r="CP13" s="18">
        <v>1</v>
      </c>
      <c r="CQ13" s="18">
        <v>1</v>
      </c>
      <c r="CR13" s="18" t="s">
        <v>5257</v>
      </c>
      <c r="CS13" s="18" t="s">
        <v>5141</v>
      </c>
      <c r="CT13" s="18">
        <v>0</v>
      </c>
      <c r="CU13" s="18">
        <v>0</v>
      </c>
      <c r="CV13" s="18">
        <v>0</v>
      </c>
      <c r="CX13" s="18">
        <v>2</v>
      </c>
      <c r="CY13" s="18">
        <v>2</v>
      </c>
      <c r="CZ13" s="18">
        <v>1</v>
      </c>
      <c r="DA13" s="18">
        <v>1</v>
      </c>
      <c r="DB13" s="18">
        <v>2</v>
      </c>
      <c r="DC13" s="18">
        <v>1</v>
      </c>
      <c r="DD13" s="18">
        <v>1</v>
      </c>
      <c r="DE13" s="18" t="s">
        <v>5141</v>
      </c>
      <c r="DF13" s="18" t="s">
        <v>5141</v>
      </c>
      <c r="DG13" s="18">
        <v>1</v>
      </c>
      <c r="DH13" s="18">
        <v>1</v>
      </c>
      <c r="DI13" s="18">
        <v>1</v>
      </c>
      <c r="DK13" s="18">
        <v>0</v>
      </c>
      <c r="DL13" s="18">
        <v>1</v>
      </c>
      <c r="DM13" s="18" t="s">
        <v>5127</v>
      </c>
      <c r="DN13" s="18" t="s">
        <v>5258</v>
      </c>
      <c r="DO13" s="18" t="s">
        <v>5259</v>
      </c>
      <c r="DP13" s="18" t="s">
        <v>113</v>
      </c>
      <c r="DS13" s="18">
        <v>0</v>
      </c>
      <c r="DT13" s="18">
        <v>0</v>
      </c>
      <c r="DU13" s="18">
        <v>1</v>
      </c>
      <c r="DV13" s="18" t="s">
        <v>5260</v>
      </c>
      <c r="DX13" s="18" t="s">
        <v>5201</v>
      </c>
      <c r="DY13" s="18" t="s">
        <v>106</v>
      </c>
      <c r="DZ13" s="18" t="s">
        <v>113</v>
      </c>
      <c r="EA13" s="18" t="s">
        <v>5261</v>
      </c>
      <c r="EB13" s="18">
        <v>336000</v>
      </c>
      <c r="EC13" s="18" t="s">
        <v>113</v>
      </c>
      <c r="ED13" s="18" t="s">
        <v>5176</v>
      </c>
      <c r="EE13" s="18" t="s">
        <v>113</v>
      </c>
      <c r="EF13" s="18" t="s">
        <v>113</v>
      </c>
      <c r="EG13" s="18" t="s">
        <v>5148</v>
      </c>
      <c r="EH13" s="18" t="s">
        <v>5203</v>
      </c>
      <c r="EI13" s="18" t="s">
        <v>5204</v>
      </c>
      <c r="EJ13" s="18" t="s">
        <v>5262</v>
      </c>
      <c r="EK13" s="18" t="s">
        <v>113</v>
      </c>
      <c r="EM13" s="18" t="s">
        <v>5227</v>
      </c>
      <c r="EN13" s="18" t="s">
        <v>113</v>
      </c>
      <c r="EO13" s="18" t="s">
        <v>113</v>
      </c>
      <c r="EP13" s="18" t="s">
        <v>113</v>
      </c>
      <c r="EQ13" s="18" t="s">
        <v>113</v>
      </c>
      <c r="ER13" s="18" t="s">
        <v>5152</v>
      </c>
      <c r="ES13" s="18" t="s">
        <v>5153</v>
      </c>
      <c r="ET13" s="18" t="s">
        <v>5154</v>
      </c>
      <c r="EU13" s="18" t="s">
        <v>5155</v>
      </c>
      <c r="EV13" s="18" t="s">
        <v>5263</v>
      </c>
      <c r="EW13" s="18" t="s">
        <v>5264</v>
      </c>
      <c r="EX13" s="18" t="s">
        <v>5265</v>
      </c>
      <c r="EY13" s="18" t="s">
        <v>5159</v>
      </c>
      <c r="EZ13" s="18" t="s">
        <v>5160</v>
      </c>
      <c r="FA13" s="18" t="s">
        <v>144</v>
      </c>
      <c r="FB13" s="18" t="s">
        <v>5161</v>
      </c>
    </row>
    <row r="14" spans="1:158" ht="10.5" customHeight="1" x14ac:dyDescent="0.2">
      <c r="A14" s="16">
        <v>41</v>
      </c>
      <c r="B14" s="16" t="s">
        <v>358</v>
      </c>
      <c r="C14" s="16" t="s">
        <v>357</v>
      </c>
      <c r="D14" s="16">
        <v>4736</v>
      </c>
      <c r="E14" s="16" t="s">
        <v>6656</v>
      </c>
      <c r="F14" s="18" t="s">
        <v>357</v>
      </c>
      <c r="G14" s="18" t="s">
        <v>106</v>
      </c>
      <c r="H14" s="15" t="s">
        <v>5127</v>
      </c>
      <c r="I14" s="18">
        <v>6</v>
      </c>
      <c r="J14" s="18">
        <v>5</v>
      </c>
      <c r="K14" s="18">
        <v>1</v>
      </c>
      <c r="M14" s="18" t="s">
        <v>5183</v>
      </c>
      <c r="N14" s="18" t="s">
        <v>5266</v>
      </c>
      <c r="O14" s="18">
        <v>47820</v>
      </c>
      <c r="T14" s="18" t="s">
        <v>111</v>
      </c>
      <c r="U14" s="18" t="s">
        <v>5250</v>
      </c>
      <c r="V14" s="18" t="s">
        <v>113</v>
      </c>
      <c r="W14" s="18" t="s">
        <v>5211</v>
      </c>
      <c r="Y14" s="18" t="s">
        <v>5232</v>
      </c>
      <c r="Z14" s="18" t="s">
        <v>113</v>
      </c>
      <c r="AA14" s="18" t="s">
        <v>5267</v>
      </c>
      <c r="AC14" s="18" t="s">
        <v>111</v>
      </c>
      <c r="AD14" s="18" t="s">
        <v>111</v>
      </c>
      <c r="AE14" s="18" t="s">
        <v>111</v>
      </c>
      <c r="AF14" s="18" t="s">
        <v>111</v>
      </c>
      <c r="AG14" s="18" t="s">
        <v>5127</v>
      </c>
      <c r="AH14" s="18" t="s">
        <v>111</v>
      </c>
      <c r="AI14" s="18">
        <v>0</v>
      </c>
      <c r="AK14" s="18" t="s">
        <v>5164</v>
      </c>
      <c r="AN14" s="18">
        <v>86400</v>
      </c>
      <c r="AO14" s="18" t="s">
        <v>5129</v>
      </c>
      <c r="AP14" s="18" t="s">
        <v>5268</v>
      </c>
      <c r="AQ14" s="18" t="s">
        <v>5269</v>
      </c>
      <c r="AR14" s="18" t="s">
        <v>5221</v>
      </c>
      <c r="AT14" s="17">
        <f>(365*D14*0.7)/1000</f>
        <v>1210.048</v>
      </c>
      <c r="AU14" s="17">
        <f t="shared" si="0"/>
        <v>12</v>
      </c>
      <c r="AV14" s="18">
        <f>12000/1000</f>
        <v>12</v>
      </c>
      <c r="AW14" s="18">
        <v>0</v>
      </c>
      <c r="AY14" s="18" t="s">
        <v>164</v>
      </c>
      <c r="BG14" s="18" t="s">
        <v>164</v>
      </c>
      <c r="BQ14" s="18">
        <v>24</v>
      </c>
      <c r="BR14" s="18">
        <v>24</v>
      </c>
      <c r="BS14" s="18">
        <v>2.4</v>
      </c>
      <c r="BT14" s="18">
        <v>24</v>
      </c>
      <c r="BU14" s="18">
        <v>0</v>
      </c>
      <c r="BV14" s="18">
        <v>74.400000000000006</v>
      </c>
      <c r="BW14" s="15">
        <f t="shared" si="1"/>
        <v>74.400000000000006</v>
      </c>
      <c r="BY14" s="18" t="s">
        <v>5134</v>
      </c>
      <c r="BZ14" s="18" t="s">
        <v>5270</v>
      </c>
      <c r="CD14" s="18" t="s">
        <v>5127</v>
      </c>
      <c r="CE14" s="18" t="s">
        <v>111</v>
      </c>
      <c r="CF14" s="18" t="s">
        <v>5135</v>
      </c>
      <c r="CG14" s="18" t="s">
        <v>5271</v>
      </c>
      <c r="CH14" s="18" t="s">
        <v>5241</v>
      </c>
      <c r="CI14" s="18" t="s">
        <v>111</v>
      </c>
      <c r="CJ14" s="18" t="s">
        <v>5196</v>
      </c>
      <c r="CK14" s="18" t="s">
        <v>179</v>
      </c>
      <c r="CL14" s="18">
        <v>0</v>
      </c>
      <c r="CM14" s="18">
        <v>0</v>
      </c>
      <c r="CN14" s="18">
        <v>0</v>
      </c>
      <c r="CO14" s="18">
        <v>1</v>
      </c>
      <c r="CP14" s="18">
        <v>0</v>
      </c>
      <c r="CQ14" s="18">
        <v>0</v>
      </c>
      <c r="CR14" s="18">
        <v>0</v>
      </c>
      <c r="CS14" s="18">
        <v>1</v>
      </c>
      <c r="CT14" s="18">
        <v>0</v>
      </c>
      <c r="CU14" s="18">
        <v>0</v>
      </c>
      <c r="CV14" s="18">
        <v>0</v>
      </c>
      <c r="CX14" s="18">
        <v>1</v>
      </c>
      <c r="CY14" s="18">
        <v>1</v>
      </c>
      <c r="CZ14" s="18">
        <v>1</v>
      </c>
      <c r="DA14" s="18">
        <v>1</v>
      </c>
      <c r="DB14" s="18">
        <v>1</v>
      </c>
      <c r="DC14" s="18">
        <v>1</v>
      </c>
      <c r="DD14" s="18">
        <v>1</v>
      </c>
      <c r="DE14" s="18">
        <v>1</v>
      </c>
      <c r="DF14" s="18">
        <v>1</v>
      </c>
      <c r="DG14" s="18">
        <v>1</v>
      </c>
      <c r="DH14" s="18">
        <v>1</v>
      </c>
      <c r="DI14" s="18">
        <v>1</v>
      </c>
      <c r="DK14" s="18">
        <v>0</v>
      </c>
      <c r="DL14" s="18">
        <v>1</v>
      </c>
      <c r="DM14" s="18" t="s">
        <v>5127</v>
      </c>
      <c r="DN14" s="18" t="s">
        <v>5172</v>
      </c>
      <c r="DO14" s="18" t="s">
        <v>5143</v>
      </c>
      <c r="DP14" s="18" t="s">
        <v>113</v>
      </c>
      <c r="DQ14" s="18" t="s">
        <v>179</v>
      </c>
      <c r="DS14" s="18">
        <v>0</v>
      </c>
      <c r="DT14" s="18">
        <v>0</v>
      </c>
      <c r="DU14" s="18">
        <v>1</v>
      </c>
      <c r="DV14" s="18" t="s">
        <v>5272</v>
      </c>
      <c r="DX14" s="18" t="s">
        <v>5222</v>
      </c>
      <c r="DY14" s="18" t="s">
        <v>106</v>
      </c>
      <c r="DZ14" s="18" t="s">
        <v>113</v>
      </c>
      <c r="EA14" s="18" t="s">
        <v>5146</v>
      </c>
      <c r="EB14" s="18">
        <v>74400</v>
      </c>
      <c r="EC14" s="18" t="s">
        <v>106</v>
      </c>
      <c r="ED14" s="18" t="s">
        <v>5176</v>
      </c>
      <c r="EE14" s="18" t="s">
        <v>113</v>
      </c>
      <c r="EF14" s="18" t="s">
        <v>113</v>
      </c>
      <c r="EG14" s="18" t="s">
        <v>5148</v>
      </c>
      <c r="EH14" s="18" t="s">
        <v>5203</v>
      </c>
      <c r="EI14" s="18" t="s">
        <v>5204</v>
      </c>
      <c r="EJ14" s="18" t="s">
        <v>5273</v>
      </c>
      <c r="EK14" s="18" t="s">
        <v>113</v>
      </c>
      <c r="EM14" s="18" t="s">
        <v>5274</v>
      </c>
      <c r="EN14" s="18" t="s">
        <v>113</v>
      </c>
      <c r="EO14" s="18" t="s">
        <v>113</v>
      </c>
      <c r="EP14" s="18" t="s">
        <v>113</v>
      </c>
      <c r="EQ14" s="18" t="s">
        <v>113</v>
      </c>
      <c r="ER14" s="18" t="s">
        <v>5155</v>
      </c>
      <c r="ES14" s="18" t="s">
        <v>5275</v>
      </c>
      <c r="ET14" s="18" t="s">
        <v>5154</v>
      </c>
      <c r="EU14" s="18" t="s">
        <v>5155</v>
      </c>
      <c r="EV14" s="18" t="s">
        <v>5276</v>
      </c>
      <c r="EW14" s="18" t="s">
        <v>5277</v>
      </c>
      <c r="EX14" s="18" t="s">
        <v>5158</v>
      </c>
      <c r="EY14" s="18" t="s">
        <v>5278</v>
      </c>
      <c r="EZ14" s="18" t="s">
        <v>5160</v>
      </c>
      <c r="FA14" s="18" t="s">
        <v>144</v>
      </c>
      <c r="FB14" s="18" t="s">
        <v>5161</v>
      </c>
    </row>
    <row r="15" spans="1:158" ht="10.5" customHeight="1" x14ac:dyDescent="0.2">
      <c r="A15" s="16">
        <v>41</v>
      </c>
      <c r="B15" s="16" t="s">
        <v>3838</v>
      </c>
      <c r="C15" s="16" t="s">
        <v>3839</v>
      </c>
      <c r="D15" s="16">
        <v>20199</v>
      </c>
      <c r="E15" s="16" t="s">
        <v>6658</v>
      </c>
      <c r="H15" s="15" t="s">
        <v>6661</v>
      </c>
      <c r="AT15" s="17">
        <f>(365*D15*0.7)/1000</f>
        <v>5160.8445000000002</v>
      </c>
      <c r="AU15" s="17">
        <f t="shared" si="0"/>
        <v>0</v>
      </c>
      <c r="BW15" s="15">
        <f t="shared" si="1"/>
        <v>0</v>
      </c>
    </row>
    <row r="16" spans="1:158" ht="10.5" customHeight="1" x14ac:dyDescent="0.2">
      <c r="A16" s="16">
        <v>41</v>
      </c>
      <c r="B16" s="16" t="s">
        <v>370</v>
      </c>
      <c r="C16" s="16" t="s">
        <v>369</v>
      </c>
      <c r="D16" s="16">
        <v>2965</v>
      </c>
      <c r="E16" s="16" t="s">
        <v>6656</v>
      </c>
      <c r="F16" s="18" t="s">
        <v>369</v>
      </c>
      <c r="G16" s="18" t="s">
        <v>106</v>
      </c>
      <c r="H16" s="15" t="s">
        <v>5127</v>
      </c>
      <c r="I16" s="18">
        <v>5</v>
      </c>
      <c r="J16" s="18">
        <v>5</v>
      </c>
      <c r="K16" s="18">
        <v>0</v>
      </c>
      <c r="L16" s="18">
        <v>0</v>
      </c>
      <c r="M16" s="18" t="s">
        <v>5230</v>
      </c>
      <c r="N16" s="18">
        <v>304278</v>
      </c>
      <c r="O16" s="18">
        <v>46629</v>
      </c>
      <c r="T16" s="18" t="s">
        <v>111</v>
      </c>
      <c r="U16" s="18" t="s">
        <v>5185</v>
      </c>
      <c r="V16" s="18" t="s">
        <v>106</v>
      </c>
      <c r="W16" s="18" t="s">
        <v>5124</v>
      </c>
      <c r="Y16" s="18" t="s">
        <v>5232</v>
      </c>
      <c r="Z16" s="18" t="s">
        <v>106</v>
      </c>
      <c r="AA16" s="18" t="s">
        <v>5163</v>
      </c>
      <c r="AB16" s="18" t="s">
        <v>179</v>
      </c>
      <c r="AC16" s="18" t="s">
        <v>5127</v>
      </c>
      <c r="AD16" s="18" t="s">
        <v>5127</v>
      </c>
      <c r="AE16" s="18" t="s">
        <v>5127</v>
      </c>
      <c r="AF16" s="18" t="s">
        <v>5127</v>
      </c>
      <c r="AG16" s="18" t="s">
        <v>5127</v>
      </c>
      <c r="AH16" s="18" t="s">
        <v>5127</v>
      </c>
      <c r="AI16" s="18">
        <v>1</v>
      </c>
      <c r="AK16" s="18" t="s">
        <v>5279</v>
      </c>
      <c r="AN16" s="18">
        <v>0</v>
      </c>
      <c r="AO16" s="18" t="s">
        <v>5186</v>
      </c>
      <c r="AP16" s="18" t="s">
        <v>5280</v>
      </c>
      <c r="AQ16" s="18" t="s">
        <v>5252</v>
      </c>
      <c r="AR16" s="18" t="s">
        <v>5168</v>
      </c>
      <c r="AT16" s="17">
        <f>(365*D16*0.7)/1000</f>
        <v>757.5575</v>
      </c>
      <c r="AU16" s="17">
        <f t="shared" si="0"/>
        <v>11.98</v>
      </c>
      <c r="AV16" s="18">
        <v>11.98</v>
      </c>
      <c r="AW16" s="18">
        <v>0</v>
      </c>
      <c r="AY16" s="18" t="s">
        <v>164</v>
      </c>
      <c r="BG16" s="18" t="s">
        <v>5281</v>
      </c>
      <c r="BQ16" s="18">
        <v>47.4</v>
      </c>
      <c r="BR16" s="18">
        <v>22</v>
      </c>
      <c r="BS16" s="18">
        <v>13.85</v>
      </c>
      <c r="BT16" s="18">
        <v>14.92</v>
      </c>
      <c r="BU16" s="18">
        <v>4.82</v>
      </c>
      <c r="BV16" s="18">
        <f>SUM(BQ16:BU16)</f>
        <v>102.99000000000001</v>
      </c>
      <c r="BW16" s="15">
        <f t="shared" si="1"/>
        <v>102.99000000000001</v>
      </c>
      <c r="BY16" s="18" t="s">
        <v>5134</v>
      </c>
      <c r="BZ16" s="18" t="s">
        <v>193</v>
      </c>
      <c r="CD16" s="18" t="s">
        <v>5127</v>
      </c>
      <c r="CE16" s="18" t="s">
        <v>111</v>
      </c>
      <c r="CF16" s="18" t="s">
        <v>5282</v>
      </c>
      <c r="CG16" s="18" t="s">
        <v>5283</v>
      </c>
      <c r="CH16" s="18" t="s">
        <v>5284</v>
      </c>
      <c r="CI16" s="18" t="s">
        <v>5138</v>
      </c>
      <c r="CJ16" s="18" t="s">
        <v>5139</v>
      </c>
      <c r="CK16" s="18" t="s">
        <v>5197</v>
      </c>
      <c r="CL16" s="18">
        <v>1</v>
      </c>
      <c r="CM16" s="18">
        <v>0</v>
      </c>
      <c r="CN16" s="18">
        <v>0</v>
      </c>
      <c r="CO16" s="18">
        <v>1</v>
      </c>
      <c r="CP16" s="18">
        <v>1</v>
      </c>
      <c r="CQ16" s="18">
        <v>1</v>
      </c>
      <c r="CR16" s="18">
        <v>0</v>
      </c>
      <c r="CS16" s="18" t="s">
        <v>5141</v>
      </c>
      <c r="CT16" s="18">
        <v>0</v>
      </c>
      <c r="CU16" s="18">
        <v>0</v>
      </c>
      <c r="CV16" s="18" t="s">
        <v>5141</v>
      </c>
      <c r="CX16" s="18">
        <v>0</v>
      </c>
      <c r="CY16" s="18">
        <v>1</v>
      </c>
      <c r="CZ16" s="18">
        <v>0</v>
      </c>
      <c r="DA16" s="18">
        <v>1</v>
      </c>
      <c r="DB16" s="18">
        <v>2</v>
      </c>
      <c r="DC16" s="18">
        <v>1</v>
      </c>
      <c r="DD16" s="18">
        <v>0</v>
      </c>
      <c r="DE16" s="18" t="s">
        <v>5141</v>
      </c>
      <c r="DF16" s="18" t="s">
        <v>5141</v>
      </c>
      <c r="DG16" s="18">
        <v>1</v>
      </c>
      <c r="DH16" s="18">
        <v>1</v>
      </c>
      <c r="DI16" s="18" t="s">
        <v>5141</v>
      </c>
      <c r="DK16" s="18">
        <v>1</v>
      </c>
      <c r="DL16" s="18">
        <v>0</v>
      </c>
      <c r="DM16" s="18" t="s">
        <v>5127</v>
      </c>
      <c r="DN16" s="18" t="s">
        <v>5172</v>
      </c>
      <c r="DO16" s="18" t="s">
        <v>5259</v>
      </c>
      <c r="DP16" s="18" t="s">
        <v>113</v>
      </c>
      <c r="DS16" s="18">
        <v>0</v>
      </c>
      <c r="DT16" s="18">
        <v>1</v>
      </c>
      <c r="DU16" s="18">
        <v>2</v>
      </c>
      <c r="DV16" s="18" t="s">
        <v>5174</v>
      </c>
      <c r="DX16" s="18" t="s">
        <v>5222</v>
      </c>
      <c r="DY16" s="18" t="s">
        <v>106</v>
      </c>
      <c r="DZ16" s="18" t="s">
        <v>113</v>
      </c>
      <c r="EA16" s="18" t="s">
        <v>5285</v>
      </c>
      <c r="EB16" s="18" t="s">
        <v>5286</v>
      </c>
      <c r="EC16" s="18" t="s">
        <v>106</v>
      </c>
      <c r="ED16" s="18" t="s">
        <v>5176</v>
      </c>
      <c r="EE16" s="18" t="s">
        <v>113</v>
      </c>
      <c r="EF16" s="18" t="s">
        <v>113</v>
      </c>
      <c r="EG16" s="18" t="s">
        <v>5148</v>
      </c>
      <c r="EH16" s="18" t="s">
        <v>5203</v>
      </c>
      <c r="EI16" s="18" t="s">
        <v>5204</v>
      </c>
      <c r="EJ16" s="18" t="s">
        <v>5287</v>
      </c>
      <c r="EN16" s="18" t="s">
        <v>113</v>
      </c>
      <c r="EP16" s="18" t="s">
        <v>113</v>
      </c>
      <c r="EQ16" s="18" t="s">
        <v>106</v>
      </c>
      <c r="ER16" s="18" t="s">
        <v>5155</v>
      </c>
      <c r="ES16" s="18" t="s">
        <v>5288</v>
      </c>
      <c r="ET16" s="18" t="s">
        <v>5154</v>
      </c>
      <c r="EU16" s="18" t="s">
        <v>5289</v>
      </c>
      <c r="EV16" s="18" t="s">
        <v>5290</v>
      </c>
      <c r="EW16" s="18" t="s">
        <v>5291</v>
      </c>
      <c r="EX16" s="18" t="s">
        <v>5158</v>
      </c>
      <c r="EY16" s="18" t="s">
        <v>5292</v>
      </c>
      <c r="EZ16" s="18" t="s">
        <v>5160</v>
      </c>
      <c r="FA16" s="18" t="s">
        <v>144</v>
      </c>
      <c r="FB16" s="18" t="s">
        <v>5161</v>
      </c>
    </row>
    <row r="17" spans="1:158" ht="10.5" customHeight="1" x14ac:dyDescent="0.2">
      <c r="A17" s="16">
        <v>41</v>
      </c>
      <c r="B17" s="16" t="s">
        <v>397</v>
      </c>
      <c r="C17" s="16" t="s">
        <v>396</v>
      </c>
      <c r="D17" s="16">
        <v>20044</v>
      </c>
      <c r="E17" s="16" t="s">
        <v>6658</v>
      </c>
      <c r="F17" s="18" t="s">
        <v>396</v>
      </c>
      <c r="G17" s="18" t="s">
        <v>106</v>
      </c>
      <c r="H17" s="15" t="s">
        <v>5127</v>
      </c>
      <c r="I17" s="18">
        <v>15</v>
      </c>
      <c r="J17" s="18">
        <v>10</v>
      </c>
      <c r="K17" s="18">
        <v>4</v>
      </c>
      <c r="L17" s="18">
        <v>1</v>
      </c>
      <c r="M17" s="18" t="s">
        <v>5183</v>
      </c>
      <c r="N17" s="18" t="s">
        <v>2323</v>
      </c>
      <c r="T17" s="18" t="s">
        <v>111</v>
      </c>
      <c r="U17" s="18" t="s">
        <v>5250</v>
      </c>
      <c r="V17" s="18" t="s">
        <v>106</v>
      </c>
      <c r="W17" s="18" t="s">
        <v>5211</v>
      </c>
      <c r="Y17" s="18" t="s">
        <v>5293</v>
      </c>
      <c r="Z17" s="18" t="s">
        <v>106</v>
      </c>
      <c r="AA17" s="18" t="s">
        <v>5267</v>
      </c>
      <c r="AB17" s="18" t="s">
        <v>179</v>
      </c>
      <c r="AC17" s="18" t="s">
        <v>5127</v>
      </c>
      <c r="AD17" s="18" t="s">
        <v>111</v>
      </c>
      <c r="AE17" s="18" t="s">
        <v>111</v>
      </c>
      <c r="AF17" s="18" t="s">
        <v>111</v>
      </c>
      <c r="AG17" s="18" t="s">
        <v>111</v>
      </c>
      <c r="AH17" s="18" t="s">
        <v>111</v>
      </c>
      <c r="AI17" s="18">
        <v>0</v>
      </c>
      <c r="AK17" s="18" t="s">
        <v>5128</v>
      </c>
      <c r="AN17" s="18">
        <v>0</v>
      </c>
      <c r="AO17" s="18" t="s">
        <v>5294</v>
      </c>
      <c r="AP17" s="18" t="s">
        <v>5295</v>
      </c>
      <c r="AQ17" s="18" t="s">
        <v>5296</v>
      </c>
      <c r="AR17" s="18" t="s">
        <v>5168</v>
      </c>
      <c r="AT17" s="17">
        <f>(365*D17*0.7)/1000</f>
        <v>5121.2420000000002</v>
      </c>
      <c r="AU17" s="17">
        <f t="shared" si="0"/>
        <v>100</v>
      </c>
      <c r="AV17" s="18">
        <v>100</v>
      </c>
      <c r="AW17" s="18">
        <v>0</v>
      </c>
      <c r="AY17" s="18" t="s">
        <v>5297</v>
      </c>
      <c r="BG17" s="18" t="s">
        <v>5190</v>
      </c>
      <c r="BQ17" s="18">
        <v>89</v>
      </c>
      <c r="BR17" s="18">
        <v>29</v>
      </c>
      <c r="BS17" s="18">
        <v>2</v>
      </c>
      <c r="BT17" s="18">
        <v>28</v>
      </c>
      <c r="BU17" s="18">
        <v>0</v>
      </c>
      <c r="BV17" s="18">
        <f>SUM(BQ17:BU17)</f>
        <v>148</v>
      </c>
      <c r="BW17" s="15">
        <f t="shared" si="1"/>
        <v>148</v>
      </c>
      <c r="BY17" s="18" t="s">
        <v>5134</v>
      </c>
      <c r="BZ17" s="18" t="s">
        <v>193</v>
      </c>
      <c r="CD17" s="18" t="s">
        <v>5127</v>
      </c>
      <c r="CE17" s="18" t="s">
        <v>111</v>
      </c>
      <c r="CF17" s="18" t="s">
        <v>5135</v>
      </c>
      <c r="CG17" s="18" t="s">
        <v>5298</v>
      </c>
      <c r="CH17" s="18" t="s">
        <v>111</v>
      </c>
      <c r="CI17" s="18" t="s">
        <v>5195</v>
      </c>
      <c r="CJ17" s="18" t="s">
        <v>5196</v>
      </c>
      <c r="CK17" s="18" t="s">
        <v>5197</v>
      </c>
      <c r="CL17" s="18">
        <v>1</v>
      </c>
      <c r="CM17" s="18">
        <v>1</v>
      </c>
      <c r="CN17" s="18">
        <v>0</v>
      </c>
      <c r="CO17" s="18">
        <v>1</v>
      </c>
      <c r="CP17" s="18">
        <v>0</v>
      </c>
      <c r="CQ17" s="18">
        <v>0</v>
      </c>
      <c r="CR17" s="18">
        <v>0</v>
      </c>
      <c r="CS17" s="18">
        <v>0</v>
      </c>
      <c r="CT17" s="18">
        <v>0</v>
      </c>
      <c r="CU17" s="18">
        <v>0</v>
      </c>
      <c r="CV17" s="18">
        <v>0</v>
      </c>
      <c r="CX17" s="18">
        <v>2</v>
      </c>
      <c r="CY17" s="18">
        <v>1</v>
      </c>
      <c r="CZ17" s="18">
        <v>1</v>
      </c>
      <c r="DA17" s="18">
        <v>1</v>
      </c>
      <c r="DB17" s="18">
        <v>2</v>
      </c>
      <c r="DC17" s="18">
        <v>1</v>
      </c>
      <c r="DD17" s="18">
        <v>1</v>
      </c>
      <c r="DE17" s="18">
        <v>4</v>
      </c>
      <c r="DF17" s="18" t="s">
        <v>5141</v>
      </c>
      <c r="DG17" s="18">
        <v>2</v>
      </c>
      <c r="DH17" s="18">
        <v>1</v>
      </c>
      <c r="DI17" s="18" t="s">
        <v>5141</v>
      </c>
      <c r="DK17" s="18">
        <v>0</v>
      </c>
      <c r="DL17" s="18">
        <v>1</v>
      </c>
      <c r="DM17" s="18" t="s">
        <v>5127</v>
      </c>
      <c r="DN17" s="18" t="s">
        <v>5299</v>
      </c>
      <c r="DO17" s="18" t="s">
        <v>5300</v>
      </c>
      <c r="DP17" s="18" t="s">
        <v>113</v>
      </c>
      <c r="DS17" s="18">
        <v>0</v>
      </c>
      <c r="DT17" s="18">
        <v>0</v>
      </c>
      <c r="DU17" s="18">
        <v>1</v>
      </c>
      <c r="DV17" s="18" t="s">
        <v>5301</v>
      </c>
      <c r="DX17" s="18" t="s">
        <v>5145</v>
      </c>
      <c r="DY17" s="18" t="s">
        <v>113</v>
      </c>
      <c r="DZ17" s="18" t="s">
        <v>113</v>
      </c>
      <c r="EA17" s="18" t="s">
        <v>5302</v>
      </c>
      <c r="EB17" s="18">
        <v>189</v>
      </c>
      <c r="EC17" s="18" t="s">
        <v>113</v>
      </c>
      <c r="ED17" s="18" t="s">
        <v>5176</v>
      </c>
      <c r="EF17" s="18" t="s">
        <v>113</v>
      </c>
      <c r="EG17" s="18" t="s">
        <v>5148</v>
      </c>
      <c r="EH17" s="18" t="s">
        <v>5203</v>
      </c>
      <c r="EI17" s="18" t="s">
        <v>5303</v>
      </c>
      <c r="EJ17" s="18" t="s">
        <v>5304</v>
      </c>
      <c r="EK17" s="18" t="s">
        <v>113</v>
      </c>
      <c r="EN17" s="18" t="s">
        <v>106</v>
      </c>
      <c r="EO17" s="18" t="s">
        <v>106</v>
      </c>
      <c r="EP17" s="18" t="s">
        <v>113</v>
      </c>
      <c r="EQ17" s="18" t="s">
        <v>106</v>
      </c>
      <c r="ER17" s="18" t="s">
        <v>5206</v>
      </c>
      <c r="ES17" s="18" t="s">
        <v>5153</v>
      </c>
      <c r="ET17" s="18" t="s">
        <v>5154</v>
      </c>
      <c r="EU17" s="18" t="s">
        <v>5155</v>
      </c>
      <c r="EV17" s="18" t="s">
        <v>5305</v>
      </c>
      <c r="EW17" s="18" t="s">
        <v>5306</v>
      </c>
      <c r="EX17" s="18" t="s">
        <v>5307</v>
      </c>
      <c r="EY17" s="18" t="s">
        <v>5181</v>
      </c>
      <c r="EZ17" s="18" t="s">
        <v>5308</v>
      </c>
      <c r="FA17" s="18" t="s">
        <v>144</v>
      </c>
      <c r="FB17" s="18" t="s">
        <v>5161</v>
      </c>
    </row>
    <row r="18" spans="1:158" ht="10.5" customHeight="1" x14ac:dyDescent="0.2">
      <c r="A18" s="16">
        <v>41</v>
      </c>
      <c r="B18" s="16" t="s">
        <v>397</v>
      </c>
      <c r="C18" s="16" t="s">
        <v>396</v>
      </c>
      <c r="D18" s="16">
        <v>20044</v>
      </c>
      <c r="E18" s="16" t="s">
        <v>6658</v>
      </c>
      <c r="F18" s="18" t="s">
        <v>396</v>
      </c>
      <c r="G18" s="18" t="s">
        <v>106</v>
      </c>
      <c r="H18" s="15" t="s">
        <v>5127</v>
      </c>
      <c r="I18" s="18">
        <v>7</v>
      </c>
      <c r="J18" s="18">
        <v>5</v>
      </c>
      <c r="K18" s="18">
        <v>2</v>
      </c>
      <c r="M18" s="18" t="s">
        <v>5121</v>
      </c>
      <c r="N18" s="18" t="s">
        <v>409</v>
      </c>
      <c r="T18" s="18" t="s">
        <v>111</v>
      </c>
      <c r="U18" s="18" t="s">
        <v>5250</v>
      </c>
      <c r="V18" s="18" t="s">
        <v>106</v>
      </c>
      <c r="W18" s="18" t="s">
        <v>5211</v>
      </c>
      <c r="Y18" s="18" t="s">
        <v>5309</v>
      </c>
      <c r="Z18" s="18" t="s">
        <v>113</v>
      </c>
      <c r="AA18" s="18" t="s">
        <v>5163</v>
      </c>
      <c r="AB18" s="18" t="s">
        <v>179</v>
      </c>
      <c r="AC18" s="18" t="s">
        <v>5127</v>
      </c>
      <c r="AD18" s="18" t="s">
        <v>5127</v>
      </c>
      <c r="AE18" s="18" t="s">
        <v>111</v>
      </c>
      <c r="AF18" s="18" t="s">
        <v>111</v>
      </c>
      <c r="AG18" s="18" t="s">
        <v>5127</v>
      </c>
      <c r="AH18" s="18" t="s">
        <v>111</v>
      </c>
      <c r="AI18" s="18">
        <v>1</v>
      </c>
      <c r="AK18" s="18" t="s">
        <v>5128</v>
      </c>
      <c r="AN18" s="18">
        <v>0</v>
      </c>
      <c r="AO18" s="18" t="s">
        <v>5186</v>
      </c>
      <c r="AP18" s="18" t="s">
        <v>5310</v>
      </c>
      <c r="AQ18" s="18" t="s">
        <v>5311</v>
      </c>
      <c r="AR18" s="18" t="s">
        <v>5168</v>
      </c>
      <c r="AT18" s="17">
        <f>(365*D18*0.7)/1000</f>
        <v>5121.2420000000002</v>
      </c>
      <c r="AU18" s="17">
        <f t="shared" si="0"/>
        <v>40</v>
      </c>
      <c r="AV18" s="18">
        <v>40</v>
      </c>
      <c r="AW18" s="18">
        <v>0</v>
      </c>
      <c r="AY18" s="18" t="s">
        <v>164</v>
      </c>
      <c r="BG18" s="18" t="s">
        <v>5281</v>
      </c>
      <c r="BQ18" s="18">
        <v>20</v>
      </c>
      <c r="BR18" s="18">
        <v>29</v>
      </c>
      <c r="BS18" s="18">
        <v>1</v>
      </c>
      <c r="BT18" s="18">
        <v>6</v>
      </c>
      <c r="BU18" s="18">
        <v>0</v>
      </c>
      <c r="BV18" s="18">
        <f>SUM(BQ18:BU18)</f>
        <v>56</v>
      </c>
      <c r="BW18" s="15">
        <f t="shared" si="1"/>
        <v>56</v>
      </c>
      <c r="BY18" s="18" t="s">
        <v>5134</v>
      </c>
      <c r="BZ18" s="18" t="s">
        <v>5312</v>
      </c>
      <c r="CD18" s="18" t="s">
        <v>5127</v>
      </c>
      <c r="CE18" s="18" t="s">
        <v>5127</v>
      </c>
      <c r="CF18" s="18" t="s">
        <v>5135</v>
      </c>
      <c r="CG18" s="18" t="s">
        <v>5313</v>
      </c>
      <c r="CH18" s="18" t="s">
        <v>5241</v>
      </c>
      <c r="CI18" s="18" t="s">
        <v>5138</v>
      </c>
      <c r="CJ18" s="18" t="s">
        <v>5139</v>
      </c>
      <c r="CK18" s="18" t="s">
        <v>5197</v>
      </c>
      <c r="CL18" s="18">
        <v>1</v>
      </c>
      <c r="CM18" s="18">
        <v>0</v>
      </c>
      <c r="CN18" s="18">
        <v>0</v>
      </c>
      <c r="CO18" s="18">
        <v>1</v>
      </c>
      <c r="CP18" s="18">
        <v>1</v>
      </c>
      <c r="CQ18" s="18">
        <v>1</v>
      </c>
      <c r="CR18" s="18">
        <v>0</v>
      </c>
      <c r="CS18" s="18" t="s">
        <v>5141</v>
      </c>
      <c r="CT18" s="18">
        <v>0</v>
      </c>
      <c r="CU18" s="18">
        <v>0</v>
      </c>
      <c r="CV18" s="18">
        <v>0</v>
      </c>
      <c r="CX18" s="18">
        <v>1</v>
      </c>
      <c r="CY18" s="18">
        <v>1</v>
      </c>
      <c r="CZ18" s="18">
        <v>1</v>
      </c>
      <c r="DA18" s="18">
        <v>1</v>
      </c>
      <c r="DB18" s="18">
        <v>1</v>
      </c>
      <c r="DC18" s="18">
        <v>1</v>
      </c>
      <c r="DD18" s="18">
        <v>1</v>
      </c>
      <c r="DE18" s="18">
        <v>2</v>
      </c>
      <c r="DF18" s="18" t="s">
        <v>5141</v>
      </c>
      <c r="DG18" s="18">
        <v>1</v>
      </c>
      <c r="DH18" s="18">
        <v>2</v>
      </c>
      <c r="DI18" s="18" t="s">
        <v>5141</v>
      </c>
      <c r="DK18" s="18">
        <v>0</v>
      </c>
      <c r="DL18" s="18">
        <v>1</v>
      </c>
      <c r="DM18" s="18" t="s">
        <v>111</v>
      </c>
      <c r="DN18" s="18" t="s">
        <v>5314</v>
      </c>
      <c r="DO18" s="18" t="s">
        <v>5315</v>
      </c>
      <c r="DP18" s="18" t="s">
        <v>106</v>
      </c>
      <c r="DQ18" s="18" t="s">
        <v>5168</v>
      </c>
      <c r="DS18" s="18">
        <v>0</v>
      </c>
      <c r="DT18" s="18">
        <v>0</v>
      </c>
      <c r="DU18" s="18">
        <v>1</v>
      </c>
      <c r="DV18" s="18" t="s">
        <v>5144</v>
      </c>
      <c r="DX18" s="18" t="s">
        <v>5145</v>
      </c>
      <c r="DY18" s="18" t="s">
        <v>113</v>
      </c>
      <c r="DZ18" s="18" t="s">
        <v>113</v>
      </c>
      <c r="EA18" s="18" t="s">
        <v>5243</v>
      </c>
      <c r="EB18" s="18">
        <v>55</v>
      </c>
      <c r="EC18" s="18" t="s">
        <v>113</v>
      </c>
      <c r="ED18" s="18" t="s">
        <v>5176</v>
      </c>
      <c r="EE18" s="18" t="s">
        <v>113</v>
      </c>
      <c r="EF18" s="18" t="s">
        <v>113</v>
      </c>
      <c r="EG18" s="18" t="s">
        <v>5148</v>
      </c>
      <c r="EH18" s="18" t="s">
        <v>5203</v>
      </c>
      <c r="EI18" s="18" t="s">
        <v>5204</v>
      </c>
      <c r="EJ18" s="18" t="s">
        <v>5316</v>
      </c>
      <c r="EK18" s="18" t="s">
        <v>113</v>
      </c>
      <c r="EN18" s="18" t="s">
        <v>113</v>
      </c>
      <c r="EO18" s="18" t="s">
        <v>113</v>
      </c>
      <c r="EP18" s="18" t="s">
        <v>113</v>
      </c>
      <c r="EQ18" s="18" t="s">
        <v>113</v>
      </c>
      <c r="ER18" s="18" t="s">
        <v>5289</v>
      </c>
      <c r="ES18" s="18" t="s">
        <v>5317</v>
      </c>
      <c r="ET18" s="18" t="s">
        <v>5154</v>
      </c>
      <c r="EU18" s="18" t="s">
        <v>5318</v>
      </c>
      <c r="EV18" s="18" t="s">
        <v>5319</v>
      </c>
      <c r="EW18" s="18" t="s">
        <v>5320</v>
      </c>
      <c r="EX18" s="18" t="s">
        <v>5158</v>
      </c>
      <c r="EY18" s="18" t="s">
        <v>5229</v>
      </c>
      <c r="EZ18" s="18" t="s">
        <v>5308</v>
      </c>
      <c r="FA18" s="18" t="s">
        <v>144</v>
      </c>
      <c r="FB18" s="18" t="s">
        <v>5161</v>
      </c>
    </row>
    <row r="19" spans="1:158" ht="10.5" customHeight="1" x14ac:dyDescent="0.2">
      <c r="A19" s="16">
        <v>41</v>
      </c>
      <c r="B19" s="16" t="s">
        <v>423</v>
      </c>
      <c r="C19" s="16" t="s">
        <v>422</v>
      </c>
      <c r="D19" s="16">
        <v>3332</v>
      </c>
      <c r="E19" s="16" t="s">
        <v>6656</v>
      </c>
      <c r="F19" s="18" t="s">
        <v>422</v>
      </c>
      <c r="G19" s="18" t="s">
        <v>113</v>
      </c>
      <c r="H19" s="15" t="s">
        <v>111</v>
      </c>
      <c r="AT19" s="17">
        <f>(365*D19*0.7)/1000</f>
        <v>851.32600000000002</v>
      </c>
      <c r="AU19" s="17">
        <f t="shared" si="0"/>
        <v>0</v>
      </c>
      <c r="BW19" s="15">
        <f t="shared" si="1"/>
        <v>0</v>
      </c>
    </row>
    <row r="20" spans="1:158" ht="10.5" customHeight="1" x14ac:dyDescent="0.2">
      <c r="A20" s="16">
        <v>41</v>
      </c>
      <c r="B20" s="16" t="s">
        <v>442</v>
      </c>
      <c r="C20" s="16" t="s">
        <v>441</v>
      </c>
      <c r="D20" s="16">
        <v>18223</v>
      </c>
      <c r="E20" s="16" t="s">
        <v>6658</v>
      </c>
      <c r="F20" s="18" t="s">
        <v>441</v>
      </c>
      <c r="G20" s="18" t="s">
        <v>106</v>
      </c>
      <c r="H20" s="15" t="s">
        <v>5127</v>
      </c>
      <c r="I20" s="18" t="s">
        <v>2511</v>
      </c>
      <c r="J20" s="18" t="s">
        <v>692</v>
      </c>
      <c r="K20" s="18" t="s">
        <v>4537</v>
      </c>
      <c r="L20" s="18" t="s">
        <v>220</v>
      </c>
      <c r="M20" s="18" t="s">
        <v>5121</v>
      </c>
      <c r="N20" s="18" t="s">
        <v>4915</v>
      </c>
      <c r="T20" s="18" t="s">
        <v>111</v>
      </c>
      <c r="U20" s="18" t="s">
        <v>5250</v>
      </c>
      <c r="V20" s="18" t="s">
        <v>113</v>
      </c>
      <c r="W20" s="18" t="s">
        <v>113</v>
      </c>
      <c r="Y20" s="18" t="s">
        <v>5232</v>
      </c>
      <c r="Z20" s="18" t="s">
        <v>113</v>
      </c>
      <c r="AA20" s="18" t="s">
        <v>5163</v>
      </c>
      <c r="AB20" s="18" t="s">
        <v>179</v>
      </c>
      <c r="AC20" s="18" t="s">
        <v>111</v>
      </c>
      <c r="AD20" s="18" t="s">
        <v>111</v>
      </c>
      <c r="AE20" s="18" t="s">
        <v>111</v>
      </c>
      <c r="AF20" s="18" t="s">
        <v>111</v>
      </c>
      <c r="AG20" s="18" t="s">
        <v>5127</v>
      </c>
      <c r="AH20" s="18" t="s">
        <v>111</v>
      </c>
      <c r="AI20" s="18">
        <v>1</v>
      </c>
      <c r="AK20" s="18" t="s">
        <v>5164</v>
      </c>
      <c r="AN20" s="18">
        <v>2500</v>
      </c>
      <c r="AO20" s="18" t="s">
        <v>5129</v>
      </c>
      <c r="AP20" s="18" t="s">
        <v>5321</v>
      </c>
      <c r="AQ20" s="18" t="s">
        <v>5252</v>
      </c>
      <c r="AR20" s="18" t="s">
        <v>5168</v>
      </c>
      <c r="AT20" s="17">
        <f>(365*D20*0.7)/1000</f>
        <v>4655.9764999999998</v>
      </c>
      <c r="AU20" s="17">
        <f t="shared" si="0"/>
        <v>150</v>
      </c>
      <c r="AV20" s="18">
        <v>150</v>
      </c>
      <c r="AW20" s="18">
        <v>0</v>
      </c>
      <c r="AY20" s="18" t="s">
        <v>164</v>
      </c>
      <c r="AZ20" s="18">
        <v>0</v>
      </c>
      <c r="BA20" s="18">
        <v>0</v>
      </c>
      <c r="BB20" s="18">
        <v>0</v>
      </c>
      <c r="BD20" s="18">
        <v>0</v>
      </c>
      <c r="BE20" s="18">
        <f>179</f>
        <v>179</v>
      </c>
      <c r="BG20" s="18" t="s">
        <v>164</v>
      </c>
      <c r="BH20" s="18">
        <v>0</v>
      </c>
      <c r="BI20" s="18">
        <v>0</v>
      </c>
      <c r="BJ20" s="18">
        <v>0</v>
      </c>
      <c r="BQ20" s="18">
        <v>2.5</v>
      </c>
      <c r="BR20" s="18">
        <v>2.5</v>
      </c>
      <c r="BS20" s="18">
        <v>1</v>
      </c>
      <c r="BT20" s="18">
        <v>1.5</v>
      </c>
      <c r="BU20" s="18">
        <v>2.5</v>
      </c>
      <c r="BV20" s="18">
        <f>SUM(BQ20:BU20)</f>
        <v>10</v>
      </c>
      <c r="BW20" s="15">
        <f t="shared" si="1"/>
        <v>10</v>
      </c>
      <c r="BY20" s="18" t="s">
        <v>5322</v>
      </c>
      <c r="BZ20" s="18" t="s">
        <v>5240</v>
      </c>
      <c r="CD20" s="18" t="s">
        <v>5127</v>
      </c>
      <c r="CE20" s="18" t="s">
        <v>111</v>
      </c>
      <c r="CF20" s="18" t="s">
        <v>5282</v>
      </c>
      <c r="CG20" s="18" t="s">
        <v>5323</v>
      </c>
      <c r="CH20" s="18" t="s">
        <v>111</v>
      </c>
      <c r="CI20" s="18" t="s">
        <v>111</v>
      </c>
      <c r="CJ20" s="18" t="s">
        <v>5139</v>
      </c>
      <c r="CK20" s="18" t="s">
        <v>5197</v>
      </c>
      <c r="CL20" s="18">
        <v>2</v>
      </c>
      <c r="CM20" s="18">
        <v>0</v>
      </c>
      <c r="CN20" s="18">
        <v>0</v>
      </c>
      <c r="CO20" s="18">
        <v>0</v>
      </c>
      <c r="CP20" s="18">
        <v>1</v>
      </c>
      <c r="CQ20" s="18">
        <v>0</v>
      </c>
      <c r="CR20" s="18">
        <v>0</v>
      </c>
      <c r="CS20" s="18" t="s">
        <v>5141</v>
      </c>
      <c r="CT20" s="18">
        <v>1</v>
      </c>
      <c r="CU20" s="18">
        <v>3</v>
      </c>
      <c r="CV20" s="18">
        <v>0</v>
      </c>
      <c r="CX20" s="18">
        <v>5</v>
      </c>
      <c r="CY20" s="18">
        <v>5</v>
      </c>
      <c r="CZ20" s="18">
        <v>5</v>
      </c>
      <c r="DA20" s="18">
        <v>5</v>
      </c>
      <c r="DB20" s="18">
        <v>5</v>
      </c>
      <c r="DC20" s="18">
        <v>2</v>
      </c>
      <c r="DD20" s="18">
        <v>5</v>
      </c>
      <c r="DE20" s="18">
        <v>5</v>
      </c>
      <c r="DF20" s="18">
        <v>5</v>
      </c>
      <c r="DG20" s="18">
        <v>5</v>
      </c>
      <c r="DH20" s="18">
        <v>5</v>
      </c>
      <c r="DI20" s="18">
        <v>5</v>
      </c>
      <c r="DK20" s="18">
        <v>0</v>
      </c>
      <c r="DL20" s="18">
        <v>1</v>
      </c>
      <c r="DM20" s="18" t="s">
        <v>5127</v>
      </c>
      <c r="DN20" s="18" t="s">
        <v>5172</v>
      </c>
      <c r="DO20" s="18" t="s">
        <v>5143</v>
      </c>
      <c r="DP20" s="18" t="s">
        <v>106</v>
      </c>
      <c r="DQ20" s="18" t="s">
        <v>179</v>
      </c>
      <c r="DS20" s="18">
        <v>0</v>
      </c>
      <c r="DT20" s="18">
        <v>0</v>
      </c>
      <c r="DU20" s="18">
        <v>2</v>
      </c>
      <c r="DV20" s="18" t="s">
        <v>5324</v>
      </c>
      <c r="DX20" s="18" t="s">
        <v>5145</v>
      </c>
      <c r="DY20" s="18" t="s">
        <v>106</v>
      </c>
      <c r="DZ20" s="18" t="s">
        <v>106</v>
      </c>
      <c r="EA20" s="18" t="s">
        <v>5325</v>
      </c>
      <c r="EB20" s="18">
        <v>1000</v>
      </c>
      <c r="EC20" s="18" t="s">
        <v>113</v>
      </c>
      <c r="ED20" s="18" t="s">
        <v>5176</v>
      </c>
      <c r="EE20" s="18" t="s">
        <v>113</v>
      </c>
      <c r="EF20" s="18" t="s">
        <v>113</v>
      </c>
      <c r="EG20" s="18" t="s">
        <v>5326</v>
      </c>
      <c r="EH20" s="18" t="s">
        <v>5149</v>
      </c>
      <c r="EI20" s="18" t="s">
        <v>5150</v>
      </c>
      <c r="EJ20" s="18" t="s">
        <v>5327</v>
      </c>
      <c r="EK20" s="18" t="s">
        <v>113</v>
      </c>
      <c r="EL20" s="18" t="s">
        <v>5226</v>
      </c>
      <c r="EM20" s="18" t="s">
        <v>5274</v>
      </c>
      <c r="EN20" s="18" t="s">
        <v>113</v>
      </c>
      <c r="EO20" s="18" t="s">
        <v>113</v>
      </c>
      <c r="EP20" s="18" t="s">
        <v>106</v>
      </c>
      <c r="EQ20" s="18" t="s">
        <v>113</v>
      </c>
      <c r="ER20" s="18" t="s">
        <v>5227</v>
      </c>
      <c r="ES20" s="18" t="s">
        <v>5317</v>
      </c>
      <c r="ET20" s="18" t="s">
        <v>5154</v>
      </c>
      <c r="EU20" s="18" t="s">
        <v>5328</v>
      </c>
      <c r="EV20" s="18" t="s">
        <v>5329</v>
      </c>
      <c r="EW20" s="18" t="s">
        <v>179</v>
      </c>
      <c r="EX20" s="18" t="s">
        <v>5158</v>
      </c>
      <c r="EY20" s="18" t="s">
        <v>5181</v>
      </c>
      <c r="EZ20" s="18" t="s">
        <v>5160</v>
      </c>
      <c r="FA20" s="18" t="s">
        <v>144</v>
      </c>
      <c r="FB20" s="18" t="s">
        <v>5161</v>
      </c>
    </row>
    <row r="21" spans="1:158" ht="10.5" customHeight="1" x14ac:dyDescent="0.2">
      <c r="A21" s="16">
        <v>41</v>
      </c>
      <c r="B21" s="16" t="s">
        <v>463</v>
      </c>
      <c r="C21" s="16" t="s">
        <v>462</v>
      </c>
      <c r="D21" s="16">
        <v>7071</v>
      </c>
      <c r="E21" s="16" t="s">
        <v>6656</v>
      </c>
      <c r="F21" s="18" t="s">
        <v>462</v>
      </c>
      <c r="G21" s="18" t="s">
        <v>113</v>
      </c>
      <c r="H21" s="15" t="s">
        <v>111</v>
      </c>
      <c r="AT21" s="17">
        <f>(365*D21*0.7)/1000</f>
        <v>1806.6405</v>
      </c>
      <c r="AU21" s="17">
        <f t="shared" si="0"/>
        <v>0</v>
      </c>
      <c r="BW21" s="15">
        <f t="shared" si="1"/>
        <v>0</v>
      </c>
    </row>
    <row r="22" spans="1:158" ht="10.5" customHeight="1" x14ac:dyDescent="0.2">
      <c r="A22" s="16">
        <v>41</v>
      </c>
      <c r="B22" s="16" t="s">
        <v>482</v>
      </c>
      <c r="C22" s="16" t="s">
        <v>481</v>
      </c>
      <c r="D22" s="16">
        <v>134306</v>
      </c>
      <c r="E22" s="16" t="s">
        <v>6657</v>
      </c>
      <c r="F22" s="18" t="s">
        <v>481</v>
      </c>
      <c r="G22" s="18" t="s">
        <v>106</v>
      </c>
      <c r="H22" s="15" t="s">
        <v>5127</v>
      </c>
      <c r="I22" s="18">
        <v>57</v>
      </c>
      <c r="J22" s="18">
        <v>22</v>
      </c>
      <c r="K22" s="18">
        <v>35</v>
      </c>
      <c r="L22" s="18" t="s">
        <v>5330</v>
      </c>
      <c r="M22" s="18" t="s">
        <v>5183</v>
      </c>
      <c r="N22" s="18" t="s">
        <v>5331</v>
      </c>
      <c r="O22" s="18">
        <v>46300</v>
      </c>
      <c r="T22" s="18" t="s">
        <v>5332</v>
      </c>
      <c r="U22" s="18" t="s">
        <v>5185</v>
      </c>
      <c r="V22" s="18" t="s">
        <v>106</v>
      </c>
      <c r="W22" s="18" t="s">
        <v>5211</v>
      </c>
      <c r="Y22" s="18" t="s">
        <v>5232</v>
      </c>
      <c r="Z22" s="18" t="s">
        <v>106</v>
      </c>
      <c r="AA22" s="18" t="s">
        <v>5163</v>
      </c>
      <c r="AB22" s="18" t="s">
        <v>179</v>
      </c>
      <c r="AC22" s="18" t="s">
        <v>5127</v>
      </c>
      <c r="AD22" s="18" t="s">
        <v>5127</v>
      </c>
      <c r="AE22" s="18" t="s">
        <v>5127</v>
      </c>
      <c r="AF22" s="18" t="s">
        <v>5127</v>
      </c>
      <c r="AG22" s="18" t="s">
        <v>5127</v>
      </c>
      <c r="AH22" s="18" t="s">
        <v>5127</v>
      </c>
      <c r="AI22" s="18">
        <v>2</v>
      </c>
      <c r="AK22" s="18" t="s">
        <v>5164</v>
      </c>
      <c r="AN22" s="18">
        <v>1993</v>
      </c>
      <c r="AO22" s="18" t="s">
        <v>5186</v>
      </c>
      <c r="AP22" s="18" t="s">
        <v>5333</v>
      </c>
      <c r="AQ22" s="18" t="s">
        <v>5252</v>
      </c>
      <c r="AR22" s="18" t="s">
        <v>5168</v>
      </c>
      <c r="AT22" s="17">
        <f>(365*D22*0.7)/1000</f>
        <v>34315.182999999997</v>
      </c>
      <c r="AU22" s="17">
        <f t="shared" si="0"/>
        <v>797</v>
      </c>
      <c r="AV22" s="18">
        <v>797</v>
      </c>
      <c r="AW22" s="18">
        <v>0</v>
      </c>
      <c r="AY22" s="18" t="s">
        <v>5334</v>
      </c>
      <c r="AZ22" s="18">
        <f>250/1000</f>
        <v>0.25</v>
      </c>
      <c r="BA22" s="18">
        <v>0</v>
      </c>
      <c r="BB22" s="18">
        <v>0</v>
      </c>
      <c r="BD22" s="18">
        <v>0</v>
      </c>
      <c r="BE22" s="18">
        <v>0</v>
      </c>
      <c r="BG22" s="18" t="s">
        <v>5238</v>
      </c>
      <c r="BI22" s="18">
        <v>0</v>
      </c>
      <c r="BJ22" s="18">
        <f>6840/1000</f>
        <v>6.84</v>
      </c>
      <c r="BQ22" s="18">
        <v>538</v>
      </c>
      <c r="BR22" s="18">
        <v>306</v>
      </c>
      <c r="BS22" s="18">
        <v>142</v>
      </c>
      <c r="BT22" s="18">
        <v>209</v>
      </c>
      <c r="BU22" s="18">
        <v>20</v>
      </c>
      <c r="BV22" s="18">
        <v>1215</v>
      </c>
      <c r="BW22" s="15">
        <f t="shared" si="1"/>
        <v>1215</v>
      </c>
      <c r="BY22" s="18" t="s">
        <v>5239</v>
      </c>
      <c r="BZ22" s="18" t="s">
        <v>5335</v>
      </c>
      <c r="CD22" s="18" t="s">
        <v>5127</v>
      </c>
      <c r="CE22" s="18" t="s">
        <v>111</v>
      </c>
      <c r="CF22" s="18" t="s">
        <v>5282</v>
      </c>
      <c r="CG22" s="18" t="s">
        <v>5193</v>
      </c>
      <c r="CH22" s="18" t="s">
        <v>5137</v>
      </c>
      <c r="CI22" s="18" t="s">
        <v>5195</v>
      </c>
      <c r="CJ22" s="18" t="s">
        <v>5196</v>
      </c>
      <c r="CK22" s="18" t="s">
        <v>5336</v>
      </c>
      <c r="CL22" s="18">
        <v>1</v>
      </c>
      <c r="CM22" s="18">
        <v>2</v>
      </c>
      <c r="CN22" s="18">
        <v>1</v>
      </c>
      <c r="CO22" s="18">
        <v>2</v>
      </c>
      <c r="CP22" s="18" t="s">
        <v>5141</v>
      </c>
      <c r="CQ22" s="18">
        <v>2</v>
      </c>
      <c r="CR22" s="18">
        <v>0</v>
      </c>
      <c r="CS22" s="18" t="s">
        <v>5141</v>
      </c>
      <c r="CT22" s="18">
        <v>0</v>
      </c>
      <c r="CU22" s="18">
        <v>0</v>
      </c>
      <c r="CV22" s="18">
        <v>0</v>
      </c>
      <c r="CX22" s="18">
        <v>2</v>
      </c>
      <c r="CY22" s="18">
        <v>0</v>
      </c>
      <c r="CZ22" s="18">
        <v>2</v>
      </c>
      <c r="DA22" s="18">
        <v>1</v>
      </c>
      <c r="DB22" s="18">
        <v>1</v>
      </c>
      <c r="DC22" s="18">
        <v>0</v>
      </c>
      <c r="DD22" s="18">
        <v>1</v>
      </c>
      <c r="DE22" s="18">
        <v>0</v>
      </c>
      <c r="DF22" s="18" t="s">
        <v>5141</v>
      </c>
      <c r="DG22" s="18">
        <v>2</v>
      </c>
      <c r="DH22" s="18">
        <v>2</v>
      </c>
      <c r="DI22" s="18">
        <v>2</v>
      </c>
      <c r="DK22" s="18">
        <v>0</v>
      </c>
      <c r="DL22" s="18">
        <v>0</v>
      </c>
      <c r="DM22" s="18" t="s">
        <v>5127</v>
      </c>
      <c r="DN22" s="18" t="s">
        <v>5172</v>
      </c>
      <c r="DO22" s="18" t="s">
        <v>5259</v>
      </c>
      <c r="DP22" s="18" t="s">
        <v>113</v>
      </c>
      <c r="DQ22" s="18" t="s">
        <v>5168</v>
      </c>
      <c r="DS22" s="18">
        <v>0</v>
      </c>
      <c r="DT22" s="18">
        <v>3</v>
      </c>
      <c r="DU22" s="18">
        <v>2</v>
      </c>
      <c r="DV22" s="18" t="s">
        <v>5260</v>
      </c>
      <c r="DX22" s="18" t="s">
        <v>5145</v>
      </c>
      <c r="DY22" s="18" t="s">
        <v>106</v>
      </c>
      <c r="DZ22" s="18" t="s">
        <v>113</v>
      </c>
      <c r="EA22" s="18" t="s">
        <v>5337</v>
      </c>
      <c r="EB22" s="18">
        <v>1216</v>
      </c>
      <c r="EC22" s="18" t="s">
        <v>106</v>
      </c>
      <c r="ED22" s="18" t="s">
        <v>5176</v>
      </c>
      <c r="EE22" s="18" t="s">
        <v>106</v>
      </c>
      <c r="EF22" s="18" t="s">
        <v>113</v>
      </c>
      <c r="EG22" s="18" t="s">
        <v>5148</v>
      </c>
      <c r="EH22" s="18" t="s">
        <v>5203</v>
      </c>
      <c r="EI22" s="18" t="s">
        <v>5204</v>
      </c>
      <c r="EJ22" s="18" t="s">
        <v>5338</v>
      </c>
      <c r="EK22" s="18" t="s">
        <v>113</v>
      </c>
      <c r="EN22" s="18" t="s">
        <v>113</v>
      </c>
      <c r="EO22" s="18" t="s">
        <v>113</v>
      </c>
      <c r="EP22" s="18" t="s">
        <v>113</v>
      </c>
      <c r="EQ22" s="18" t="s">
        <v>106</v>
      </c>
      <c r="ER22" s="18" t="s">
        <v>5206</v>
      </c>
      <c r="ES22" s="18" t="s">
        <v>5153</v>
      </c>
      <c r="ET22" s="18" t="s">
        <v>5154</v>
      </c>
      <c r="EU22" s="18" t="s">
        <v>5318</v>
      </c>
      <c r="EW22" s="18" t="s">
        <v>5291</v>
      </c>
      <c r="EX22" s="18" t="s">
        <v>5158</v>
      </c>
      <c r="EY22" s="18" t="s">
        <v>5248</v>
      </c>
      <c r="EZ22" s="18" t="s">
        <v>5182</v>
      </c>
      <c r="FA22" s="18" t="s">
        <v>144</v>
      </c>
      <c r="FB22" s="18" t="s">
        <v>5161</v>
      </c>
    </row>
    <row r="23" spans="1:158" ht="10.5" customHeight="1" x14ac:dyDescent="0.2">
      <c r="A23" s="16">
        <v>41</v>
      </c>
      <c r="B23" s="16" t="s">
        <v>503</v>
      </c>
      <c r="C23" s="16" t="s">
        <v>502</v>
      </c>
      <c r="D23" s="16">
        <v>123863</v>
      </c>
      <c r="E23" s="16" t="s">
        <v>6657</v>
      </c>
      <c r="F23" s="18" t="s">
        <v>502</v>
      </c>
      <c r="G23" s="18" t="s">
        <v>106</v>
      </c>
      <c r="H23" s="15" t="s">
        <v>5127</v>
      </c>
      <c r="I23" s="18">
        <v>21</v>
      </c>
      <c r="J23" s="18">
        <v>15</v>
      </c>
      <c r="K23" s="18" t="s">
        <v>387</v>
      </c>
      <c r="L23" s="18">
        <v>0</v>
      </c>
      <c r="M23" s="18" t="s">
        <v>5121</v>
      </c>
      <c r="N23" s="18">
        <v>258913</v>
      </c>
      <c r="O23" s="18">
        <v>48174</v>
      </c>
      <c r="T23" s="18" t="s">
        <v>111</v>
      </c>
      <c r="U23" s="18" t="s">
        <v>5250</v>
      </c>
      <c r="V23" s="18" t="s">
        <v>106</v>
      </c>
      <c r="W23" s="18" t="s">
        <v>5124</v>
      </c>
      <c r="Y23" s="18" t="s">
        <v>5232</v>
      </c>
      <c r="Z23" s="18" t="s">
        <v>113</v>
      </c>
      <c r="AA23" s="18" t="s">
        <v>5163</v>
      </c>
      <c r="AB23" s="18" t="s">
        <v>179</v>
      </c>
      <c r="AC23" s="18" t="s">
        <v>111</v>
      </c>
      <c r="AD23" s="18" t="s">
        <v>5127</v>
      </c>
      <c r="AE23" s="18" t="s">
        <v>111</v>
      </c>
      <c r="AF23" s="18" t="s">
        <v>111</v>
      </c>
      <c r="AG23" s="18" t="s">
        <v>5127</v>
      </c>
      <c r="AH23" s="18" t="s">
        <v>111</v>
      </c>
      <c r="AI23" s="18">
        <v>1</v>
      </c>
      <c r="AK23" s="18" t="s">
        <v>5164</v>
      </c>
      <c r="AN23" s="18">
        <v>1000</v>
      </c>
      <c r="AO23" s="18" t="s">
        <v>5129</v>
      </c>
      <c r="AP23" s="18" t="s">
        <v>5339</v>
      </c>
      <c r="AQ23" s="18" t="s">
        <v>5252</v>
      </c>
      <c r="AR23" s="18" t="s">
        <v>5168</v>
      </c>
      <c r="AT23" s="17">
        <f>(365*D23*0.7)/1000</f>
        <v>31646.996499999997</v>
      </c>
      <c r="AU23" s="17">
        <f t="shared" si="0"/>
        <v>1100</v>
      </c>
      <c r="AV23" s="18">
        <v>1000</v>
      </c>
      <c r="AW23" s="18">
        <v>100</v>
      </c>
      <c r="AY23" s="18" t="s">
        <v>5334</v>
      </c>
      <c r="BD23" s="18">
        <f>10000/1000</f>
        <v>10</v>
      </c>
      <c r="BE23" s="18">
        <f>1000</f>
        <v>1000</v>
      </c>
      <c r="BG23" s="18" t="s">
        <v>5169</v>
      </c>
      <c r="BH23" s="18">
        <v>300</v>
      </c>
      <c r="BW23" s="15">
        <f t="shared" si="1"/>
        <v>0</v>
      </c>
      <c r="BY23" s="18" t="s">
        <v>5340</v>
      </c>
      <c r="BZ23" s="18" t="s">
        <v>193</v>
      </c>
      <c r="CD23" s="18" t="s">
        <v>5127</v>
      </c>
      <c r="CE23" s="18" t="s">
        <v>111</v>
      </c>
      <c r="CF23" s="18" t="s">
        <v>5135</v>
      </c>
      <c r="CG23" s="18" t="s">
        <v>5298</v>
      </c>
      <c r="CH23" s="18" t="s">
        <v>5241</v>
      </c>
      <c r="CI23" s="18" t="s">
        <v>5195</v>
      </c>
      <c r="CJ23" s="18" t="s">
        <v>5139</v>
      </c>
      <c r="CK23" s="18" t="s">
        <v>5341</v>
      </c>
      <c r="CL23" s="18">
        <v>2</v>
      </c>
      <c r="CM23" s="18">
        <v>0</v>
      </c>
      <c r="CN23" s="18">
        <v>0</v>
      </c>
      <c r="CO23" s="18">
        <v>0</v>
      </c>
      <c r="CP23" s="18">
        <v>1</v>
      </c>
      <c r="CQ23" s="18">
        <v>1</v>
      </c>
      <c r="CR23" s="18">
        <v>2</v>
      </c>
      <c r="CS23" s="18" t="s">
        <v>5141</v>
      </c>
      <c r="CT23" s="18">
        <v>0</v>
      </c>
      <c r="CU23" s="18">
        <v>0</v>
      </c>
      <c r="CV23" s="18">
        <v>0</v>
      </c>
      <c r="CX23" s="18">
        <v>2</v>
      </c>
      <c r="CY23" s="18">
        <v>1</v>
      </c>
      <c r="CZ23" s="18">
        <v>1</v>
      </c>
      <c r="DA23" s="18">
        <v>1</v>
      </c>
      <c r="DB23" s="18">
        <v>1</v>
      </c>
      <c r="DC23" s="18">
        <v>1</v>
      </c>
      <c r="DD23" s="18">
        <v>1</v>
      </c>
      <c r="DE23" s="18">
        <v>1</v>
      </c>
      <c r="DF23" s="18">
        <v>1</v>
      </c>
      <c r="DG23" s="18">
        <v>1</v>
      </c>
      <c r="DH23" s="18">
        <v>1</v>
      </c>
      <c r="DI23" s="18">
        <v>1</v>
      </c>
      <c r="DK23" s="18">
        <v>1</v>
      </c>
      <c r="DL23" s="18">
        <v>1</v>
      </c>
      <c r="DM23" s="18" t="s">
        <v>111</v>
      </c>
      <c r="DN23" s="18" t="s">
        <v>5172</v>
      </c>
      <c r="DO23" s="18" t="s">
        <v>5259</v>
      </c>
      <c r="DP23" s="18" t="s">
        <v>106</v>
      </c>
      <c r="DQ23" s="18" t="s">
        <v>179</v>
      </c>
      <c r="DS23" s="18">
        <v>1000</v>
      </c>
      <c r="DT23" s="18">
        <v>0</v>
      </c>
      <c r="DU23" s="18">
        <v>1</v>
      </c>
      <c r="DV23" s="18" t="s">
        <v>5342</v>
      </c>
      <c r="DX23" s="18" t="s">
        <v>5201</v>
      </c>
      <c r="DY23" s="18" t="s">
        <v>106</v>
      </c>
      <c r="DZ23" s="18" t="s">
        <v>106</v>
      </c>
      <c r="EA23" s="18" t="s">
        <v>5261</v>
      </c>
      <c r="EB23" s="18">
        <v>1000</v>
      </c>
      <c r="EC23" s="18" t="s">
        <v>106</v>
      </c>
      <c r="ED23" s="18" t="s">
        <v>5147</v>
      </c>
      <c r="EE23" s="18" t="s">
        <v>106</v>
      </c>
      <c r="EF23" s="18" t="s">
        <v>106</v>
      </c>
      <c r="EG23" s="18" t="s">
        <v>5326</v>
      </c>
      <c r="EH23" s="18" t="s">
        <v>5203</v>
      </c>
      <c r="EI23" s="18" t="s">
        <v>5204</v>
      </c>
      <c r="EJ23" s="18" t="s">
        <v>5343</v>
      </c>
      <c r="EK23" s="18" t="s">
        <v>113</v>
      </c>
      <c r="EL23" s="18" t="s">
        <v>5344</v>
      </c>
      <c r="EM23" s="18" t="s">
        <v>5227</v>
      </c>
      <c r="EN23" s="18" t="s">
        <v>113</v>
      </c>
      <c r="EO23" s="18" t="s">
        <v>113</v>
      </c>
      <c r="EP23" s="18" t="s">
        <v>113</v>
      </c>
      <c r="EQ23" s="18" t="s">
        <v>113</v>
      </c>
      <c r="ER23" s="18" t="s">
        <v>5206</v>
      </c>
      <c r="ES23" s="18" t="s">
        <v>5153</v>
      </c>
      <c r="ET23" s="18" t="s">
        <v>5154</v>
      </c>
      <c r="EU23" s="18" t="s">
        <v>5318</v>
      </c>
      <c r="EV23" s="18" t="s">
        <v>5345</v>
      </c>
      <c r="EW23" s="18" t="s">
        <v>5346</v>
      </c>
      <c r="EX23" s="18" t="s">
        <v>5158</v>
      </c>
      <c r="EY23" s="18" t="s">
        <v>5347</v>
      </c>
      <c r="EZ23" s="18" t="s">
        <v>5182</v>
      </c>
      <c r="FA23" s="18" t="s">
        <v>144</v>
      </c>
      <c r="FB23" s="18" t="s">
        <v>5161</v>
      </c>
    </row>
    <row r="24" spans="1:158" ht="10.5" customHeight="1" x14ac:dyDescent="0.2">
      <c r="A24" s="16">
        <v>41</v>
      </c>
      <c r="B24" s="16" t="s">
        <v>503</v>
      </c>
      <c r="C24" s="16" t="s">
        <v>502</v>
      </c>
      <c r="D24" s="16">
        <v>123863</v>
      </c>
      <c r="E24" s="16" t="s">
        <v>6657</v>
      </c>
      <c r="F24" s="18" t="s">
        <v>502</v>
      </c>
      <c r="G24" s="18" t="s">
        <v>106</v>
      </c>
      <c r="H24" s="15" t="s">
        <v>5127</v>
      </c>
      <c r="I24" s="18">
        <v>18</v>
      </c>
      <c r="J24" s="18">
        <v>15</v>
      </c>
      <c r="K24" s="18" t="s">
        <v>4537</v>
      </c>
      <c r="L24" s="18">
        <v>0</v>
      </c>
      <c r="M24" s="18" t="s">
        <v>5121</v>
      </c>
      <c r="N24" s="18">
        <v>254053</v>
      </c>
      <c r="O24" s="18">
        <v>48112</v>
      </c>
      <c r="T24" s="18" t="s">
        <v>111</v>
      </c>
      <c r="U24" s="18" t="s">
        <v>5250</v>
      </c>
      <c r="V24" s="18" t="s">
        <v>106</v>
      </c>
      <c r="W24" s="18" t="s">
        <v>5124</v>
      </c>
      <c r="Y24" s="18" t="s">
        <v>5162</v>
      </c>
      <c r="Z24" s="18" t="s">
        <v>113</v>
      </c>
      <c r="AA24" s="18" t="s">
        <v>5163</v>
      </c>
      <c r="AB24" s="18" t="s">
        <v>179</v>
      </c>
      <c r="AC24" s="18" t="s">
        <v>5127</v>
      </c>
      <c r="AD24" s="18" t="s">
        <v>5127</v>
      </c>
      <c r="AE24" s="18" t="s">
        <v>111</v>
      </c>
      <c r="AF24" s="18" t="s">
        <v>111</v>
      </c>
      <c r="AG24" s="18" t="s">
        <v>5127</v>
      </c>
      <c r="AH24" s="18" t="s">
        <v>111</v>
      </c>
      <c r="AI24" s="18">
        <v>1</v>
      </c>
      <c r="AK24" s="18" t="s">
        <v>5164</v>
      </c>
      <c r="AN24" s="18">
        <v>2500</v>
      </c>
      <c r="AO24" s="18" t="s">
        <v>5186</v>
      </c>
      <c r="AP24" s="18" t="s">
        <v>5348</v>
      </c>
      <c r="AQ24" s="18" t="s">
        <v>5252</v>
      </c>
      <c r="AR24" s="18" t="s">
        <v>5168</v>
      </c>
      <c r="AT24" s="17">
        <f>(365*D24*0.7)/1000</f>
        <v>31646.996499999997</v>
      </c>
      <c r="AU24" s="17">
        <f t="shared" si="0"/>
        <v>5000</v>
      </c>
      <c r="AV24" s="18">
        <v>2500</v>
      </c>
      <c r="AW24" s="18">
        <v>2500</v>
      </c>
      <c r="AY24" s="18" t="s">
        <v>5349</v>
      </c>
      <c r="AZ24" s="18">
        <f>200/1000</f>
        <v>0.2</v>
      </c>
      <c r="BA24" s="18">
        <f>100/1000</f>
        <v>0.1</v>
      </c>
      <c r="BB24" s="18">
        <v>100</v>
      </c>
      <c r="BD24" s="18">
        <v>0</v>
      </c>
      <c r="BG24" s="18" t="s">
        <v>5350</v>
      </c>
      <c r="BH24" s="18">
        <f>100/1000</f>
        <v>0.1</v>
      </c>
      <c r="BI24" s="18">
        <f>100/1000</f>
        <v>0.1</v>
      </c>
      <c r="BJ24" s="18">
        <f>100/1000</f>
        <v>0.1</v>
      </c>
      <c r="BW24" s="15">
        <f t="shared" si="1"/>
        <v>0</v>
      </c>
      <c r="BY24" s="18" t="s">
        <v>5134</v>
      </c>
      <c r="BZ24" s="18" t="s">
        <v>193</v>
      </c>
      <c r="CD24" s="18" t="s">
        <v>5127</v>
      </c>
      <c r="CE24" s="18" t="s">
        <v>5127</v>
      </c>
      <c r="CF24" s="18" t="s">
        <v>5135</v>
      </c>
      <c r="CG24" s="18" t="s">
        <v>5298</v>
      </c>
      <c r="CH24" s="18" t="s">
        <v>5241</v>
      </c>
      <c r="CI24" s="18" t="s">
        <v>5351</v>
      </c>
      <c r="CJ24" s="18" t="s">
        <v>5196</v>
      </c>
      <c r="CK24" s="18" t="s">
        <v>5341</v>
      </c>
      <c r="CL24" s="18">
        <v>0</v>
      </c>
      <c r="CM24" s="18">
        <v>1</v>
      </c>
      <c r="CN24" s="18">
        <v>0</v>
      </c>
      <c r="CO24" s="18">
        <v>1</v>
      </c>
      <c r="CP24" s="18">
        <v>0</v>
      </c>
      <c r="CQ24" s="18">
        <v>1</v>
      </c>
      <c r="CR24" s="18">
        <v>0</v>
      </c>
      <c r="CS24" s="18">
        <v>1</v>
      </c>
      <c r="CT24" s="18">
        <v>0</v>
      </c>
      <c r="CU24" s="18">
        <v>0</v>
      </c>
      <c r="CV24" s="18">
        <v>0</v>
      </c>
      <c r="CX24" s="18">
        <v>2</v>
      </c>
      <c r="CY24" s="18">
        <v>1</v>
      </c>
      <c r="CZ24" s="18">
        <v>1</v>
      </c>
      <c r="DA24" s="18">
        <v>1</v>
      </c>
      <c r="DB24" s="18">
        <v>1</v>
      </c>
      <c r="DC24" s="18">
        <v>1</v>
      </c>
      <c r="DD24" s="18">
        <v>1</v>
      </c>
      <c r="DE24" s="18">
        <v>1</v>
      </c>
      <c r="DF24" s="18">
        <v>1</v>
      </c>
      <c r="DG24" s="18">
        <v>1</v>
      </c>
      <c r="DH24" s="18">
        <v>1</v>
      </c>
      <c r="DI24" s="18">
        <v>1</v>
      </c>
      <c r="DK24" s="18">
        <v>0</v>
      </c>
      <c r="DL24" s="18">
        <v>1</v>
      </c>
      <c r="DM24" s="18" t="s">
        <v>5127</v>
      </c>
      <c r="DN24" s="18" t="s">
        <v>5258</v>
      </c>
      <c r="DO24" s="18" t="s">
        <v>5259</v>
      </c>
      <c r="DP24" s="18" t="s">
        <v>106</v>
      </c>
      <c r="DQ24" s="18" t="s">
        <v>5168</v>
      </c>
      <c r="DS24" s="18">
        <v>2500</v>
      </c>
      <c r="DT24" s="18">
        <v>0</v>
      </c>
      <c r="DU24" s="18">
        <v>2</v>
      </c>
      <c r="DV24" s="18" t="s">
        <v>5301</v>
      </c>
      <c r="DX24" s="18" t="s">
        <v>5201</v>
      </c>
      <c r="DY24" s="18" t="s">
        <v>106</v>
      </c>
      <c r="DZ24" s="18" t="s">
        <v>106</v>
      </c>
      <c r="EA24" s="18" t="s">
        <v>5146</v>
      </c>
      <c r="EB24" s="18">
        <v>2500</v>
      </c>
      <c r="EC24" s="18" t="s">
        <v>106</v>
      </c>
      <c r="ED24" s="18" t="s">
        <v>5176</v>
      </c>
      <c r="EE24" s="18" t="s">
        <v>106</v>
      </c>
      <c r="EF24" s="18" t="s">
        <v>106</v>
      </c>
      <c r="EG24" s="18" t="s">
        <v>5148</v>
      </c>
      <c r="EH24" s="18" t="s">
        <v>5203</v>
      </c>
      <c r="EI24" s="18" t="s">
        <v>5204</v>
      </c>
      <c r="EJ24" s="18" t="s">
        <v>5343</v>
      </c>
      <c r="EK24" s="18" t="s">
        <v>113</v>
      </c>
      <c r="EL24" s="18" t="s">
        <v>5344</v>
      </c>
      <c r="EM24" s="18" t="s">
        <v>5227</v>
      </c>
      <c r="EN24" s="18" t="s">
        <v>113</v>
      </c>
      <c r="EO24" s="18" t="s">
        <v>113</v>
      </c>
      <c r="EP24" s="18" t="s">
        <v>113</v>
      </c>
      <c r="EQ24" s="18" t="s">
        <v>113</v>
      </c>
      <c r="ER24" s="18" t="s">
        <v>5289</v>
      </c>
      <c r="ES24" s="18" t="s">
        <v>5352</v>
      </c>
      <c r="ET24" s="18" t="s">
        <v>5154</v>
      </c>
      <c r="EU24" s="18" t="s">
        <v>5318</v>
      </c>
      <c r="EV24" s="18" t="s">
        <v>5353</v>
      </c>
      <c r="EW24" s="18" t="s">
        <v>5291</v>
      </c>
      <c r="EX24" s="18" t="s">
        <v>5158</v>
      </c>
      <c r="EY24" s="18" t="s">
        <v>5248</v>
      </c>
      <c r="EZ24" s="18" t="s">
        <v>5182</v>
      </c>
      <c r="FA24" s="18" t="s">
        <v>144</v>
      </c>
      <c r="FB24" s="18" t="s">
        <v>5161</v>
      </c>
    </row>
    <row r="25" spans="1:158" ht="10.5" customHeight="1" x14ac:dyDescent="0.2">
      <c r="A25" s="16">
        <v>41</v>
      </c>
      <c r="B25" s="16" t="s">
        <v>523</v>
      </c>
      <c r="C25" s="16" t="s">
        <v>522</v>
      </c>
      <c r="D25" s="16">
        <v>26310</v>
      </c>
      <c r="E25" s="16" t="s">
        <v>6658</v>
      </c>
      <c r="F25" s="18" t="s">
        <v>522</v>
      </c>
      <c r="G25" s="18" t="s">
        <v>106</v>
      </c>
      <c r="H25" s="15" t="s">
        <v>5127</v>
      </c>
      <c r="I25" s="18">
        <v>12</v>
      </c>
      <c r="J25" s="18">
        <v>8</v>
      </c>
      <c r="K25" s="18">
        <v>4</v>
      </c>
      <c r="L25" s="18">
        <v>0</v>
      </c>
      <c r="M25" s="18" t="s">
        <v>5183</v>
      </c>
      <c r="N25" s="18">
        <v>0</v>
      </c>
      <c r="T25" s="18" t="s">
        <v>5240</v>
      </c>
      <c r="U25" s="18" t="s">
        <v>5250</v>
      </c>
      <c r="V25" s="18" t="s">
        <v>113</v>
      </c>
      <c r="W25" s="18" t="s">
        <v>113</v>
      </c>
      <c r="Y25" s="18" t="s">
        <v>5212</v>
      </c>
      <c r="Z25" s="18" t="s">
        <v>106</v>
      </c>
      <c r="AA25" s="18" t="s">
        <v>5163</v>
      </c>
      <c r="AB25" s="18" t="s">
        <v>179</v>
      </c>
      <c r="AC25" s="18" t="s">
        <v>5127</v>
      </c>
      <c r="AD25" s="18" t="s">
        <v>5127</v>
      </c>
      <c r="AE25" s="18" t="s">
        <v>5127</v>
      </c>
      <c r="AF25" s="18" t="s">
        <v>5127</v>
      </c>
      <c r="AG25" s="18" t="s">
        <v>5127</v>
      </c>
      <c r="AH25" s="18" t="s">
        <v>5127</v>
      </c>
      <c r="AI25" s="18">
        <v>0</v>
      </c>
      <c r="AK25" s="18" t="s">
        <v>5164</v>
      </c>
      <c r="AN25" s="18">
        <v>300</v>
      </c>
      <c r="AO25" s="18" t="s">
        <v>5129</v>
      </c>
      <c r="AP25" s="18" t="s">
        <v>5354</v>
      </c>
      <c r="AQ25" s="18" t="s">
        <v>5269</v>
      </c>
      <c r="AR25" s="18" t="s">
        <v>5355</v>
      </c>
      <c r="AT25" s="17">
        <f>(365*D25*0.7)/1000</f>
        <v>6722.2049999999999</v>
      </c>
      <c r="AU25" s="17">
        <f t="shared" si="0"/>
        <v>1</v>
      </c>
      <c r="AV25" s="18">
        <v>1</v>
      </c>
      <c r="AW25" s="18">
        <v>0</v>
      </c>
      <c r="AY25" s="18" t="s">
        <v>5356</v>
      </c>
      <c r="AZ25" s="18">
        <f>240/1000</f>
        <v>0.24</v>
      </c>
      <c r="BA25" s="18">
        <v>0</v>
      </c>
      <c r="BB25" s="18">
        <v>100</v>
      </c>
      <c r="BD25" s="18">
        <f>1800/1000</f>
        <v>1.8</v>
      </c>
      <c r="BE25" s="18">
        <v>0</v>
      </c>
      <c r="BG25" s="18" t="s">
        <v>5281</v>
      </c>
      <c r="BH25" s="18">
        <v>0</v>
      </c>
      <c r="BI25" s="18">
        <f>12000/1000</f>
        <v>12</v>
      </c>
      <c r="BJ25" s="18">
        <f>1800/1000</f>
        <v>1.8</v>
      </c>
      <c r="BQ25" s="18">
        <v>30</v>
      </c>
      <c r="BR25" s="18">
        <v>24</v>
      </c>
      <c r="BS25" s="18">
        <v>12</v>
      </c>
      <c r="BT25" s="18">
        <v>48</v>
      </c>
      <c r="BU25" s="18">
        <v>36</v>
      </c>
      <c r="BV25" s="18">
        <f>SUM(BQ25:BU25)</f>
        <v>150</v>
      </c>
      <c r="BW25" s="15">
        <f t="shared" si="1"/>
        <v>150</v>
      </c>
      <c r="BY25" s="18" t="s">
        <v>5134</v>
      </c>
      <c r="BZ25" s="18" t="s">
        <v>193</v>
      </c>
      <c r="CD25" s="18" t="s">
        <v>5127</v>
      </c>
      <c r="CE25" s="18" t="s">
        <v>5127</v>
      </c>
      <c r="CF25" s="18" t="s">
        <v>5282</v>
      </c>
      <c r="CG25" s="18" t="s">
        <v>5357</v>
      </c>
      <c r="CH25" s="18" t="s">
        <v>5241</v>
      </c>
      <c r="CI25" s="18" t="s">
        <v>5138</v>
      </c>
      <c r="CJ25" s="18" t="s">
        <v>5196</v>
      </c>
      <c r="CK25" s="18" t="s">
        <v>5197</v>
      </c>
      <c r="CL25" s="18">
        <v>1</v>
      </c>
      <c r="CM25" s="18">
        <v>0</v>
      </c>
      <c r="CN25" s="18">
        <v>0</v>
      </c>
      <c r="CO25" s="18">
        <v>0</v>
      </c>
      <c r="CP25" s="18">
        <v>0</v>
      </c>
      <c r="CQ25" s="18">
        <v>1</v>
      </c>
      <c r="CR25" s="18">
        <v>0</v>
      </c>
      <c r="CS25" s="18" t="s">
        <v>5141</v>
      </c>
      <c r="CT25" s="18">
        <v>0</v>
      </c>
      <c r="CU25" s="18" t="s">
        <v>5358</v>
      </c>
      <c r="CV25" s="18">
        <v>0</v>
      </c>
      <c r="CX25" s="18">
        <v>2</v>
      </c>
      <c r="CY25" s="18">
        <v>2</v>
      </c>
      <c r="CZ25" s="18">
        <v>2</v>
      </c>
      <c r="DA25" s="18">
        <v>2</v>
      </c>
      <c r="DB25" s="18">
        <v>2</v>
      </c>
      <c r="DC25" s="18">
        <v>2</v>
      </c>
      <c r="DD25" s="18">
        <v>1</v>
      </c>
      <c r="DE25" s="18" t="s">
        <v>5141</v>
      </c>
      <c r="DF25" s="18" t="s">
        <v>5141</v>
      </c>
      <c r="DG25" s="18">
        <v>2</v>
      </c>
      <c r="DH25" s="18">
        <v>3</v>
      </c>
      <c r="DI25" s="18">
        <v>1</v>
      </c>
      <c r="DK25" s="18">
        <v>0</v>
      </c>
      <c r="DL25" s="18">
        <v>1</v>
      </c>
      <c r="DM25" s="18" t="s">
        <v>5127</v>
      </c>
      <c r="DN25" s="18" t="s">
        <v>5359</v>
      </c>
      <c r="DO25" s="18" t="s">
        <v>5360</v>
      </c>
      <c r="DP25" s="18" t="s">
        <v>113</v>
      </c>
      <c r="DQ25" s="18" t="s">
        <v>179</v>
      </c>
      <c r="DS25" s="18">
        <v>0</v>
      </c>
      <c r="DT25" s="18">
        <v>0</v>
      </c>
      <c r="DU25" s="18">
        <v>1</v>
      </c>
      <c r="DV25" s="18" t="s">
        <v>5342</v>
      </c>
      <c r="DX25" s="18" t="s">
        <v>5222</v>
      </c>
      <c r="DY25" s="18" t="s">
        <v>106</v>
      </c>
      <c r="DZ25" s="18" t="s">
        <v>113</v>
      </c>
      <c r="EA25" s="18" t="s">
        <v>5261</v>
      </c>
      <c r="EB25" s="18">
        <v>250</v>
      </c>
      <c r="EC25" s="18" t="s">
        <v>106</v>
      </c>
      <c r="ED25" s="18" t="s">
        <v>5147</v>
      </c>
      <c r="EE25" s="18" t="s">
        <v>113</v>
      </c>
      <c r="EF25" s="18" t="s">
        <v>113</v>
      </c>
      <c r="EG25" s="18" t="s">
        <v>5148</v>
      </c>
      <c r="EH25" s="18" t="s">
        <v>5203</v>
      </c>
      <c r="EI25" s="18" t="s">
        <v>5204</v>
      </c>
      <c r="EJ25" s="18" t="s">
        <v>5361</v>
      </c>
      <c r="EK25" s="18" t="s">
        <v>5362</v>
      </c>
      <c r="EL25" s="18" t="s">
        <v>127</v>
      </c>
      <c r="EM25" s="18" t="s">
        <v>127</v>
      </c>
      <c r="EN25" s="18" t="s">
        <v>113</v>
      </c>
      <c r="EO25" s="18" t="s">
        <v>113</v>
      </c>
      <c r="EP25" s="18" t="s">
        <v>113</v>
      </c>
      <c r="EQ25" s="18" t="s">
        <v>113</v>
      </c>
      <c r="ER25" s="18" t="s">
        <v>5206</v>
      </c>
      <c r="ES25" s="18" t="s">
        <v>5153</v>
      </c>
      <c r="ET25" s="18" t="s">
        <v>5154</v>
      </c>
      <c r="EU25" s="18" t="s">
        <v>5318</v>
      </c>
      <c r="EV25" s="18" t="s">
        <v>5363</v>
      </c>
      <c r="EW25" s="18" t="s">
        <v>5364</v>
      </c>
      <c r="EX25" s="18" t="s">
        <v>5158</v>
      </c>
      <c r="EY25" s="18" t="s">
        <v>5365</v>
      </c>
      <c r="EZ25" s="18" t="s">
        <v>5366</v>
      </c>
      <c r="FA25" s="18" t="s">
        <v>144</v>
      </c>
      <c r="FB25" s="18" t="s">
        <v>5161</v>
      </c>
    </row>
    <row r="26" spans="1:158" ht="10.5" customHeight="1" x14ac:dyDescent="0.2">
      <c r="A26" s="16">
        <v>41</v>
      </c>
      <c r="B26" s="16" t="s">
        <v>936</v>
      </c>
      <c r="C26" s="16" t="s">
        <v>937</v>
      </c>
      <c r="D26" s="16">
        <v>3573</v>
      </c>
      <c r="E26" s="16" t="s">
        <v>6656</v>
      </c>
      <c r="H26" s="15" t="s">
        <v>6661</v>
      </c>
      <c r="AT26" s="17">
        <f>(365*D26*0.7)/1000</f>
        <v>912.90150000000006</v>
      </c>
      <c r="AU26" s="17">
        <f t="shared" si="0"/>
        <v>0</v>
      </c>
      <c r="BW26" s="15">
        <f t="shared" si="1"/>
        <v>0</v>
      </c>
    </row>
    <row r="27" spans="1:158" ht="10.5" customHeight="1" x14ac:dyDescent="0.2">
      <c r="A27" s="16">
        <v>41</v>
      </c>
      <c r="B27" s="16" t="s">
        <v>544</v>
      </c>
      <c r="C27" s="16" t="s">
        <v>543</v>
      </c>
      <c r="D27" s="16">
        <v>14824</v>
      </c>
      <c r="E27" s="16" t="s">
        <v>6656</v>
      </c>
      <c r="F27" s="18" t="s">
        <v>543</v>
      </c>
      <c r="G27" s="18" t="s">
        <v>113</v>
      </c>
      <c r="H27" s="15" t="s">
        <v>111</v>
      </c>
      <c r="AT27" s="17">
        <f>(365*D27*0.7)/1000</f>
        <v>3787.5319999999997</v>
      </c>
      <c r="AU27" s="17">
        <f t="shared" si="0"/>
        <v>0</v>
      </c>
      <c r="BW27" s="15">
        <f t="shared" si="1"/>
        <v>0</v>
      </c>
    </row>
    <row r="28" spans="1:158" ht="10.5" customHeight="1" x14ac:dyDescent="0.2">
      <c r="A28" s="16">
        <v>41</v>
      </c>
      <c r="B28" s="16" t="s">
        <v>561</v>
      </c>
      <c r="C28" s="16" t="s">
        <v>560</v>
      </c>
      <c r="D28" s="16">
        <v>160038</v>
      </c>
      <c r="E28" s="16" t="s">
        <v>6657</v>
      </c>
      <c r="F28" s="18" t="s">
        <v>560</v>
      </c>
      <c r="G28" s="18" t="s">
        <v>106</v>
      </c>
      <c r="H28" s="15" t="s">
        <v>5127</v>
      </c>
      <c r="I28" s="18">
        <v>42</v>
      </c>
      <c r="J28" s="18">
        <v>23</v>
      </c>
      <c r="K28" s="18">
        <v>19</v>
      </c>
      <c r="L28" s="18">
        <v>0</v>
      </c>
      <c r="M28" s="18" t="s">
        <v>5183</v>
      </c>
      <c r="N28" s="18" t="s">
        <v>5367</v>
      </c>
      <c r="O28" s="18">
        <v>47236</v>
      </c>
      <c r="T28" s="18" t="s">
        <v>111</v>
      </c>
      <c r="U28" s="18" t="s">
        <v>5185</v>
      </c>
      <c r="V28" s="18" t="s">
        <v>106</v>
      </c>
      <c r="W28" s="18" t="s">
        <v>5211</v>
      </c>
      <c r="Y28" s="18" t="s">
        <v>5232</v>
      </c>
      <c r="Z28" s="18" t="s">
        <v>106</v>
      </c>
      <c r="AA28" s="18" t="s">
        <v>5163</v>
      </c>
      <c r="AB28" s="18" t="s">
        <v>179</v>
      </c>
      <c r="AC28" s="18" t="s">
        <v>5127</v>
      </c>
      <c r="AD28" s="18" t="s">
        <v>5127</v>
      </c>
      <c r="AE28" s="18" t="s">
        <v>111</v>
      </c>
      <c r="AF28" s="18" t="s">
        <v>5127</v>
      </c>
      <c r="AG28" s="18" t="s">
        <v>5127</v>
      </c>
      <c r="AH28" s="18" t="s">
        <v>5127</v>
      </c>
      <c r="AI28" s="18">
        <v>2</v>
      </c>
      <c r="AK28" s="18" t="s">
        <v>5164</v>
      </c>
      <c r="AN28" s="18">
        <v>971</v>
      </c>
      <c r="AO28" s="18" t="s">
        <v>5186</v>
      </c>
      <c r="AP28" s="18" t="s">
        <v>5368</v>
      </c>
      <c r="AQ28" s="18" t="s">
        <v>5311</v>
      </c>
      <c r="AR28" s="18" t="s">
        <v>5168</v>
      </c>
      <c r="AT28" s="17">
        <f>(365*D28*0.7)/1000</f>
        <v>40889.709000000003</v>
      </c>
      <c r="AU28" s="17">
        <f t="shared" si="0"/>
        <v>603</v>
      </c>
      <c r="AV28" s="18">
        <v>0</v>
      </c>
      <c r="AW28" s="18">
        <v>603</v>
      </c>
      <c r="AY28" s="18" t="s">
        <v>5334</v>
      </c>
      <c r="BG28" s="18" t="s">
        <v>5369</v>
      </c>
      <c r="BQ28" s="18">
        <v>502</v>
      </c>
      <c r="BR28" s="18">
        <v>279</v>
      </c>
      <c r="BS28" s="18">
        <v>53</v>
      </c>
      <c r="BT28" s="18">
        <v>119</v>
      </c>
      <c r="BU28" s="18">
        <v>27</v>
      </c>
      <c r="BV28" s="18">
        <v>980</v>
      </c>
      <c r="BW28" s="15">
        <f t="shared" si="1"/>
        <v>980</v>
      </c>
      <c r="BY28" s="18" t="s">
        <v>5134</v>
      </c>
      <c r="BZ28" s="18" t="s">
        <v>5240</v>
      </c>
      <c r="CD28" s="18" t="s">
        <v>5127</v>
      </c>
      <c r="CE28" s="18" t="s">
        <v>5127</v>
      </c>
      <c r="CF28" s="18" t="s">
        <v>5282</v>
      </c>
      <c r="CG28" s="18" t="s">
        <v>5370</v>
      </c>
      <c r="CH28" s="18" t="s">
        <v>5241</v>
      </c>
      <c r="CI28" s="18" t="s">
        <v>5138</v>
      </c>
      <c r="CJ28" s="18" t="s">
        <v>5196</v>
      </c>
      <c r="CK28" s="18" t="s">
        <v>5256</v>
      </c>
      <c r="CL28" s="18">
        <v>5</v>
      </c>
      <c r="CM28" s="18">
        <v>0</v>
      </c>
      <c r="CN28" s="18">
        <v>0</v>
      </c>
      <c r="CO28" s="18">
        <v>1</v>
      </c>
      <c r="CP28" s="18">
        <v>0</v>
      </c>
      <c r="CQ28" s="18">
        <v>0</v>
      </c>
      <c r="CR28" s="18" t="s">
        <v>5141</v>
      </c>
      <c r="CS28" s="18" t="s">
        <v>5141</v>
      </c>
      <c r="CT28" s="18">
        <v>0</v>
      </c>
      <c r="CU28" s="18">
        <v>0</v>
      </c>
      <c r="CV28" s="18">
        <v>0</v>
      </c>
      <c r="CX28" s="18">
        <v>1</v>
      </c>
      <c r="CY28" s="18">
        <v>0</v>
      </c>
      <c r="CZ28" s="18">
        <v>1</v>
      </c>
      <c r="DA28" s="18">
        <v>1</v>
      </c>
      <c r="DB28" s="18">
        <v>1</v>
      </c>
      <c r="DC28" s="18">
        <v>1</v>
      </c>
      <c r="DD28" s="18">
        <v>1</v>
      </c>
      <c r="DE28" s="18">
        <v>0</v>
      </c>
      <c r="DF28" s="18">
        <v>0</v>
      </c>
      <c r="DG28" s="18">
        <v>1</v>
      </c>
      <c r="DH28" s="18">
        <v>1</v>
      </c>
      <c r="DI28" s="18">
        <v>1</v>
      </c>
      <c r="DK28" s="18">
        <v>0</v>
      </c>
      <c r="DL28" s="18">
        <v>1</v>
      </c>
      <c r="DM28" s="18" t="s">
        <v>5127</v>
      </c>
      <c r="DN28" s="18" t="s">
        <v>5172</v>
      </c>
      <c r="DO28" s="18" t="s">
        <v>5371</v>
      </c>
      <c r="DP28" s="18" t="s">
        <v>113</v>
      </c>
      <c r="DS28" s="18">
        <v>0</v>
      </c>
      <c r="DT28" s="18">
        <v>1</v>
      </c>
      <c r="DU28" s="18">
        <v>1</v>
      </c>
      <c r="DV28" s="18" t="s">
        <v>5144</v>
      </c>
      <c r="DX28" s="18" t="s">
        <v>5145</v>
      </c>
      <c r="DY28" s="18" t="s">
        <v>106</v>
      </c>
      <c r="DZ28" s="18" t="s">
        <v>113</v>
      </c>
      <c r="EA28" s="18" t="s">
        <v>5202</v>
      </c>
      <c r="EB28" s="18">
        <v>971</v>
      </c>
      <c r="EC28" s="18" t="s">
        <v>106</v>
      </c>
      <c r="ED28" s="18" t="s">
        <v>5147</v>
      </c>
      <c r="EE28" s="18" t="s">
        <v>113</v>
      </c>
      <c r="EF28" s="18" t="s">
        <v>106</v>
      </c>
      <c r="EG28" s="18" t="s">
        <v>5148</v>
      </c>
      <c r="EH28" s="18" t="s">
        <v>5203</v>
      </c>
      <c r="EI28" s="18" t="s">
        <v>5204</v>
      </c>
      <c r="EJ28" s="18" t="s">
        <v>5245</v>
      </c>
      <c r="EN28" s="18" t="s">
        <v>113</v>
      </c>
      <c r="EO28" s="18" t="s">
        <v>113</v>
      </c>
      <c r="EP28" s="18" t="s">
        <v>113</v>
      </c>
      <c r="EQ28" s="18" t="s">
        <v>113</v>
      </c>
      <c r="ER28" s="18" t="s">
        <v>5152</v>
      </c>
      <c r="ES28" s="18" t="s">
        <v>5153</v>
      </c>
      <c r="ET28" s="18" t="s">
        <v>5154</v>
      </c>
      <c r="EU28" s="18" t="s">
        <v>5318</v>
      </c>
      <c r="EV28" s="18" t="s">
        <v>5372</v>
      </c>
      <c r="EW28" s="18" t="s">
        <v>179</v>
      </c>
      <c r="EX28" s="18" t="s">
        <v>5158</v>
      </c>
      <c r="EY28" s="18" t="s">
        <v>5181</v>
      </c>
      <c r="EZ28" s="18" t="s">
        <v>5182</v>
      </c>
      <c r="FA28" s="18" t="s">
        <v>144</v>
      </c>
      <c r="FB28" s="18" t="s">
        <v>5161</v>
      </c>
    </row>
    <row r="29" spans="1:158" ht="10.5" customHeight="1" x14ac:dyDescent="0.2">
      <c r="A29" s="16">
        <v>41</v>
      </c>
      <c r="B29" s="16" t="s">
        <v>580</v>
      </c>
      <c r="C29" s="16" t="s">
        <v>579</v>
      </c>
      <c r="D29" s="16">
        <v>2351</v>
      </c>
      <c r="E29" s="16" t="s">
        <v>6656</v>
      </c>
      <c r="F29" s="18" t="s">
        <v>579</v>
      </c>
      <c r="G29" s="18" t="s">
        <v>113</v>
      </c>
      <c r="H29" s="15" t="s">
        <v>111</v>
      </c>
      <c r="AT29" s="17">
        <f>(365*D29*0.7)/1000</f>
        <v>600.68050000000005</v>
      </c>
      <c r="AU29" s="17">
        <f t="shared" si="0"/>
        <v>0</v>
      </c>
      <c r="BW29" s="15">
        <f t="shared" si="1"/>
        <v>0</v>
      </c>
    </row>
    <row r="30" spans="1:158" ht="10.5" customHeight="1" x14ac:dyDescent="0.2">
      <c r="A30" s="16">
        <v>41</v>
      </c>
      <c r="B30" s="16" t="s">
        <v>588</v>
      </c>
      <c r="C30" s="16" t="s">
        <v>587</v>
      </c>
      <c r="D30" s="16">
        <v>13643</v>
      </c>
      <c r="E30" s="16" t="s">
        <v>6656</v>
      </c>
      <c r="F30" s="18" t="s">
        <v>587</v>
      </c>
      <c r="G30" s="18" t="s">
        <v>106</v>
      </c>
      <c r="H30" s="15" t="s">
        <v>5127</v>
      </c>
      <c r="I30" s="18">
        <v>9</v>
      </c>
      <c r="J30" s="18">
        <v>5</v>
      </c>
      <c r="K30" s="18">
        <v>4</v>
      </c>
      <c r="M30" s="18" t="s">
        <v>5183</v>
      </c>
      <c r="N30" s="18" t="s">
        <v>5373</v>
      </c>
      <c r="O30" s="18">
        <v>47795</v>
      </c>
      <c r="T30" s="18" t="s">
        <v>111</v>
      </c>
      <c r="U30" s="18" t="s">
        <v>5123</v>
      </c>
      <c r="V30" s="18" t="s">
        <v>106</v>
      </c>
      <c r="W30" s="18" t="s">
        <v>5211</v>
      </c>
      <c r="Y30" s="18" t="s">
        <v>5232</v>
      </c>
      <c r="Z30" s="18" t="s">
        <v>106</v>
      </c>
      <c r="AA30" s="18" t="s">
        <v>5163</v>
      </c>
      <c r="AB30" s="18" t="s">
        <v>5233</v>
      </c>
      <c r="AC30" s="18" t="s">
        <v>5127</v>
      </c>
      <c r="AD30" s="18" t="s">
        <v>5127</v>
      </c>
      <c r="AE30" s="18" t="s">
        <v>5127</v>
      </c>
      <c r="AF30" s="18" t="s">
        <v>5127</v>
      </c>
      <c r="AG30" s="18" t="s">
        <v>5127</v>
      </c>
      <c r="AH30" s="18" t="s">
        <v>111</v>
      </c>
      <c r="AI30" s="18">
        <v>1</v>
      </c>
      <c r="AK30" s="18" t="s">
        <v>5164</v>
      </c>
      <c r="AN30" s="18">
        <v>380</v>
      </c>
      <c r="AO30" s="18" t="s">
        <v>5186</v>
      </c>
      <c r="AP30" s="18" t="s">
        <v>5374</v>
      </c>
      <c r="AQ30" s="18" t="s">
        <v>5252</v>
      </c>
      <c r="AR30" s="18" t="s">
        <v>5168</v>
      </c>
      <c r="AT30" s="17">
        <f>(365*D30*0.7)/1000</f>
        <v>3485.7865000000002</v>
      </c>
      <c r="AU30" s="17">
        <f t="shared" si="0"/>
        <v>90</v>
      </c>
      <c r="AV30" s="18">
        <v>90</v>
      </c>
      <c r="AW30" s="18">
        <v>0</v>
      </c>
      <c r="AY30" s="18" t="s">
        <v>164</v>
      </c>
      <c r="BG30" s="18" t="s">
        <v>5375</v>
      </c>
      <c r="BQ30" s="18">
        <v>22</v>
      </c>
      <c r="BR30" s="18">
        <v>43</v>
      </c>
      <c r="BS30" s="18">
        <v>24</v>
      </c>
      <c r="BT30" s="18">
        <v>44</v>
      </c>
      <c r="BU30" s="18">
        <v>347</v>
      </c>
      <c r="BV30" s="18">
        <f>SUM(BQ30:BU30)</f>
        <v>480</v>
      </c>
      <c r="BW30" s="15">
        <f t="shared" si="1"/>
        <v>480</v>
      </c>
      <c r="BY30" s="18" t="s">
        <v>5134</v>
      </c>
      <c r="BZ30" s="18" t="s">
        <v>193</v>
      </c>
      <c r="CD30" s="18" t="s">
        <v>5127</v>
      </c>
      <c r="CE30" s="18" t="s">
        <v>111</v>
      </c>
      <c r="CF30" s="18" t="s">
        <v>5135</v>
      </c>
      <c r="CG30" s="18" t="s">
        <v>5376</v>
      </c>
      <c r="CH30" s="18" t="s">
        <v>5241</v>
      </c>
      <c r="CI30" s="18" t="s">
        <v>5195</v>
      </c>
      <c r="CJ30" s="18" t="s">
        <v>5196</v>
      </c>
      <c r="CK30" s="18" t="s">
        <v>5197</v>
      </c>
      <c r="CL30" s="18">
        <v>3</v>
      </c>
      <c r="CM30" s="18">
        <v>0</v>
      </c>
      <c r="CN30" s="18">
        <v>0</v>
      </c>
      <c r="CO30" s="18">
        <v>1</v>
      </c>
      <c r="CP30" s="18">
        <v>1</v>
      </c>
      <c r="CQ30" s="18">
        <v>2</v>
      </c>
      <c r="CR30" s="18">
        <v>0</v>
      </c>
      <c r="CS30" s="18" t="s">
        <v>5141</v>
      </c>
      <c r="CT30" s="18">
        <v>0</v>
      </c>
      <c r="CU30" s="18">
        <v>0</v>
      </c>
      <c r="CV30" s="18">
        <v>0</v>
      </c>
      <c r="CX30" s="18">
        <v>0</v>
      </c>
      <c r="CY30" s="18">
        <v>0</v>
      </c>
      <c r="CZ30" s="18">
        <v>0</v>
      </c>
      <c r="DA30" s="18">
        <v>1</v>
      </c>
      <c r="DB30" s="18">
        <v>0</v>
      </c>
      <c r="DC30" s="18">
        <v>1</v>
      </c>
      <c r="DD30" s="18">
        <v>0</v>
      </c>
      <c r="DE30" s="18">
        <v>0</v>
      </c>
      <c r="DF30" s="18" t="s">
        <v>5141</v>
      </c>
      <c r="DG30" s="18">
        <v>0</v>
      </c>
      <c r="DH30" s="18">
        <v>0</v>
      </c>
      <c r="DI30" s="18">
        <v>0</v>
      </c>
      <c r="DK30" s="18">
        <v>0</v>
      </c>
      <c r="DL30" s="18">
        <v>0</v>
      </c>
      <c r="DM30" s="18" t="s">
        <v>5127</v>
      </c>
      <c r="DN30" s="18" t="s">
        <v>5198</v>
      </c>
      <c r="DO30" s="18" t="s">
        <v>5259</v>
      </c>
      <c r="DP30" s="18" t="s">
        <v>113</v>
      </c>
      <c r="DS30" s="18">
        <v>0</v>
      </c>
      <c r="DT30" s="18">
        <v>0</v>
      </c>
      <c r="DU30" s="18">
        <v>1</v>
      </c>
      <c r="DV30" s="18" t="s">
        <v>5377</v>
      </c>
      <c r="DX30" s="18" t="s">
        <v>5145</v>
      </c>
      <c r="DY30" s="18" t="s">
        <v>106</v>
      </c>
      <c r="DZ30" s="18" t="s">
        <v>106</v>
      </c>
      <c r="EA30" s="18" t="s">
        <v>5146</v>
      </c>
      <c r="EB30" s="18">
        <v>360</v>
      </c>
      <c r="EC30" s="18" t="s">
        <v>106</v>
      </c>
      <c r="ED30" s="18" t="s">
        <v>5147</v>
      </c>
      <c r="EE30" s="18" t="s">
        <v>106</v>
      </c>
      <c r="EF30" s="18" t="s">
        <v>113</v>
      </c>
      <c r="EG30" s="18" t="s">
        <v>5326</v>
      </c>
      <c r="EH30" s="18" t="s">
        <v>5203</v>
      </c>
      <c r="EI30" s="18" t="s">
        <v>5204</v>
      </c>
      <c r="EJ30" s="18" t="s">
        <v>5287</v>
      </c>
      <c r="EM30" s="18" t="s">
        <v>5227</v>
      </c>
      <c r="EN30" s="18" t="s">
        <v>113</v>
      </c>
      <c r="EO30" s="18" t="s">
        <v>106</v>
      </c>
      <c r="EP30" s="18" t="s">
        <v>113</v>
      </c>
      <c r="EQ30" s="18" t="s">
        <v>113</v>
      </c>
      <c r="ER30" s="18" t="s">
        <v>5328</v>
      </c>
      <c r="ES30" s="18" t="s">
        <v>5378</v>
      </c>
      <c r="ET30" s="18" t="s">
        <v>5154</v>
      </c>
      <c r="EU30" s="18" t="s">
        <v>5318</v>
      </c>
      <c r="EV30" s="18" t="s">
        <v>5379</v>
      </c>
      <c r="EW30" s="18" t="s">
        <v>5380</v>
      </c>
      <c r="EX30" s="18" t="s">
        <v>5158</v>
      </c>
      <c r="EY30" s="18" t="s">
        <v>5347</v>
      </c>
      <c r="EZ30" s="18" t="s">
        <v>5160</v>
      </c>
    </row>
    <row r="31" spans="1:158" ht="10.5" customHeight="1" x14ac:dyDescent="0.2">
      <c r="A31" s="16">
        <v>41</v>
      </c>
      <c r="B31" s="16" t="s">
        <v>602</v>
      </c>
      <c r="C31" s="16" t="s">
        <v>601</v>
      </c>
      <c r="D31" s="16">
        <v>38105</v>
      </c>
      <c r="E31" s="16" t="s">
        <v>6658</v>
      </c>
      <c r="F31" s="18" t="s">
        <v>601</v>
      </c>
      <c r="G31" s="18" t="s">
        <v>106</v>
      </c>
      <c r="H31" s="15" t="s">
        <v>5127</v>
      </c>
      <c r="I31" s="18">
        <v>40</v>
      </c>
      <c r="J31" s="18">
        <v>25</v>
      </c>
      <c r="K31" s="18">
        <v>14</v>
      </c>
      <c r="L31" s="18">
        <v>1</v>
      </c>
      <c r="M31" s="18" t="s">
        <v>5230</v>
      </c>
      <c r="N31" s="18" t="s">
        <v>5381</v>
      </c>
      <c r="O31" s="18">
        <v>46421</v>
      </c>
      <c r="T31" s="18" t="s">
        <v>5382</v>
      </c>
      <c r="U31" s="18" t="s">
        <v>5123</v>
      </c>
      <c r="V31" s="18" t="s">
        <v>106</v>
      </c>
      <c r="W31" s="18" t="s">
        <v>5211</v>
      </c>
      <c r="Y31" s="18" t="s">
        <v>5162</v>
      </c>
      <c r="Z31" s="18" t="s">
        <v>106</v>
      </c>
      <c r="AA31" s="18" t="s">
        <v>5163</v>
      </c>
      <c r="AB31" s="18" t="s">
        <v>179</v>
      </c>
      <c r="AC31" s="18" t="s">
        <v>5127</v>
      </c>
      <c r="AD31" s="18" t="s">
        <v>5127</v>
      </c>
      <c r="AE31" s="18" t="s">
        <v>5127</v>
      </c>
      <c r="AF31" s="18" t="s">
        <v>5127</v>
      </c>
      <c r="AG31" s="18" t="s">
        <v>5127</v>
      </c>
      <c r="AH31" s="18" t="s">
        <v>5127</v>
      </c>
      <c r="AI31" s="18">
        <v>1</v>
      </c>
      <c r="AK31" s="18" t="s">
        <v>5164</v>
      </c>
      <c r="AN31" s="18">
        <v>1042</v>
      </c>
      <c r="AO31" s="18" t="s">
        <v>5186</v>
      </c>
      <c r="AP31" s="18" t="s">
        <v>5383</v>
      </c>
      <c r="AQ31" s="18" t="s">
        <v>5384</v>
      </c>
      <c r="AR31" s="18" t="s">
        <v>5168</v>
      </c>
      <c r="AT31" s="17">
        <f>(365*D31*0.7)/1000</f>
        <v>9735.8274999999994</v>
      </c>
      <c r="AU31" s="17">
        <f t="shared" si="0"/>
        <v>208</v>
      </c>
      <c r="AV31" s="18">
        <v>208</v>
      </c>
      <c r="AW31" s="18">
        <v>0</v>
      </c>
      <c r="AY31" s="18" t="s">
        <v>5237</v>
      </c>
      <c r="BG31" s="18" t="s">
        <v>5281</v>
      </c>
      <c r="BQ31" s="18">
        <v>259</v>
      </c>
      <c r="BR31" s="18">
        <v>320</v>
      </c>
      <c r="BS31" s="18">
        <v>110</v>
      </c>
      <c r="BT31" s="18">
        <v>90</v>
      </c>
      <c r="BU31" s="18">
        <v>55</v>
      </c>
      <c r="BV31" s="18">
        <v>834</v>
      </c>
      <c r="BW31" s="15">
        <f t="shared" si="1"/>
        <v>834</v>
      </c>
      <c r="BY31" s="18" t="s">
        <v>5134</v>
      </c>
      <c r="BZ31" s="18" t="s">
        <v>5335</v>
      </c>
      <c r="CD31" s="18" t="s">
        <v>5127</v>
      </c>
      <c r="CE31" s="18" t="s">
        <v>5127</v>
      </c>
      <c r="CF31" s="18" t="s">
        <v>5282</v>
      </c>
      <c r="CG31" s="18" t="s">
        <v>5193</v>
      </c>
      <c r="CH31" s="18" t="s">
        <v>5241</v>
      </c>
      <c r="CI31" s="18" t="s">
        <v>5195</v>
      </c>
      <c r="CJ31" s="18" t="s">
        <v>5196</v>
      </c>
      <c r="CK31" s="18" t="s">
        <v>5197</v>
      </c>
      <c r="CL31" s="18">
        <v>2</v>
      </c>
      <c r="CM31" s="18">
        <v>1</v>
      </c>
      <c r="CN31" s="18">
        <v>0</v>
      </c>
      <c r="CO31" s="18">
        <v>2</v>
      </c>
      <c r="CP31" s="18">
        <v>4</v>
      </c>
      <c r="CQ31" s="18">
        <v>2</v>
      </c>
      <c r="CR31" s="18">
        <v>0</v>
      </c>
      <c r="CS31" s="18" t="s">
        <v>5141</v>
      </c>
      <c r="CT31" s="18">
        <v>1</v>
      </c>
      <c r="CU31" s="18">
        <v>0</v>
      </c>
      <c r="CV31" s="18" t="s">
        <v>5141</v>
      </c>
      <c r="CX31" s="18">
        <v>0</v>
      </c>
      <c r="CY31" s="18">
        <v>0</v>
      </c>
      <c r="CZ31" s="18">
        <v>1</v>
      </c>
      <c r="DA31" s="18">
        <v>0</v>
      </c>
      <c r="DB31" s="18">
        <v>1</v>
      </c>
      <c r="DC31" s="18">
        <v>1</v>
      </c>
      <c r="DD31" s="18">
        <v>0</v>
      </c>
      <c r="DE31" s="18">
        <v>0</v>
      </c>
      <c r="DF31" s="18" t="s">
        <v>5141</v>
      </c>
      <c r="DG31" s="18">
        <v>0</v>
      </c>
      <c r="DH31" s="18">
        <v>0</v>
      </c>
      <c r="DI31" s="18">
        <v>0</v>
      </c>
      <c r="DK31" s="18">
        <v>1</v>
      </c>
      <c r="DL31" s="18">
        <v>1</v>
      </c>
      <c r="DM31" s="18" t="s">
        <v>5127</v>
      </c>
      <c r="DN31" s="18" t="s">
        <v>5172</v>
      </c>
      <c r="DO31" s="18" t="s">
        <v>5385</v>
      </c>
      <c r="DP31" s="18" t="s">
        <v>113</v>
      </c>
      <c r="DQ31" s="18" t="s">
        <v>5168</v>
      </c>
      <c r="DS31" s="18">
        <v>0</v>
      </c>
      <c r="DT31" s="18">
        <v>2</v>
      </c>
      <c r="DU31" s="18">
        <v>0</v>
      </c>
      <c r="DV31" s="18" t="s">
        <v>5342</v>
      </c>
      <c r="DX31" s="18" t="s">
        <v>5201</v>
      </c>
      <c r="DY31" s="18" t="s">
        <v>106</v>
      </c>
      <c r="DZ31" s="18" t="s">
        <v>113</v>
      </c>
      <c r="EA31" s="18" t="s">
        <v>5261</v>
      </c>
      <c r="EB31" s="18">
        <v>834</v>
      </c>
      <c r="EC31" s="18" t="s">
        <v>106</v>
      </c>
      <c r="ED31" s="18" t="s">
        <v>5176</v>
      </c>
      <c r="EE31" s="18" t="s">
        <v>106</v>
      </c>
      <c r="EF31" s="18" t="s">
        <v>113</v>
      </c>
      <c r="EG31" s="18" t="s">
        <v>5386</v>
      </c>
      <c r="EH31" s="18" t="s">
        <v>5203</v>
      </c>
      <c r="EI31" s="18" t="s">
        <v>5204</v>
      </c>
      <c r="EJ31" s="18" t="s">
        <v>5387</v>
      </c>
      <c r="EN31" s="18" t="s">
        <v>113</v>
      </c>
      <c r="EO31" s="18" t="s">
        <v>106</v>
      </c>
      <c r="EP31" s="18" t="s">
        <v>113</v>
      </c>
      <c r="EQ31" s="18" t="s">
        <v>106</v>
      </c>
      <c r="ER31" s="18" t="s">
        <v>5206</v>
      </c>
      <c r="ES31" s="18" t="s">
        <v>5153</v>
      </c>
      <c r="ET31" s="18" t="s">
        <v>5154</v>
      </c>
      <c r="EU31" s="18" t="s">
        <v>5318</v>
      </c>
      <c r="EV31" s="18" t="s">
        <v>5372</v>
      </c>
      <c r="EW31" s="18" t="s">
        <v>5388</v>
      </c>
      <c r="EX31" s="18" t="s">
        <v>5158</v>
      </c>
      <c r="EY31" s="18" t="s">
        <v>5229</v>
      </c>
      <c r="EZ31" s="18" t="s">
        <v>5389</v>
      </c>
      <c r="FA31" s="18" t="s">
        <v>144</v>
      </c>
      <c r="FB31" s="18" t="s">
        <v>5161</v>
      </c>
    </row>
    <row r="32" spans="1:158" ht="10.5" customHeight="1" x14ac:dyDescent="0.2">
      <c r="A32" s="16">
        <v>41</v>
      </c>
      <c r="B32" s="16" t="s">
        <v>4069</v>
      </c>
      <c r="C32" s="16" t="s">
        <v>4070</v>
      </c>
      <c r="D32" s="16">
        <v>26145</v>
      </c>
      <c r="E32" s="16" t="s">
        <v>6658</v>
      </c>
      <c r="H32" s="15" t="s">
        <v>6661</v>
      </c>
      <c r="AT32" s="17">
        <f>(365*D32*0.7)/1000</f>
        <v>6680.0474999999997</v>
      </c>
      <c r="AU32" s="17">
        <f t="shared" si="0"/>
        <v>0</v>
      </c>
      <c r="BW32" s="15">
        <f t="shared" si="1"/>
        <v>0</v>
      </c>
    </row>
    <row r="33" spans="1:158" ht="10.5" customHeight="1" x14ac:dyDescent="0.2">
      <c r="A33" s="16">
        <v>41</v>
      </c>
      <c r="B33" s="16" t="s">
        <v>1142</v>
      </c>
      <c r="C33" s="16" t="s">
        <v>1143</v>
      </c>
      <c r="D33" s="16">
        <v>4045</v>
      </c>
      <c r="E33" s="16" t="s">
        <v>6656</v>
      </c>
      <c r="H33" s="15" t="s">
        <v>6661</v>
      </c>
      <c r="AT33" s="17">
        <f>(365*D33*0.7)/1000</f>
        <v>1033.4974999999999</v>
      </c>
      <c r="AU33" s="17">
        <f t="shared" si="0"/>
        <v>0</v>
      </c>
      <c r="BW33" s="15">
        <f t="shared" si="1"/>
        <v>0</v>
      </c>
    </row>
    <row r="34" spans="1:158" ht="10.5" customHeight="1" x14ac:dyDescent="0.2">
      <c r="A34" s="16">
        <v>41</v>
      </c>
      <c r="B34" s="16" t="s">
        <v>621</v>
      </c>
      <c r="C34" s="16" t="s">
        <v>620</v>
      </c>
      <c r="D34" s="16">
        <v>13871</v>
      </c>
      <c r="E34" s="16" t="s">
        <v>6656</v>
      </c>
      <c r="F34" s="18" t="s">
        <v>620</v>
      </c>
      <c r="G34" s="18" t="s">
        <v>106</v>
      </c>
      <c r="H34" s="15" t="s">
        <v>5127</v>
      </c>
      <c r="I34" s="18">
        <v>6</v>
      </c>
      <c r="J34" s="18">
        <v>2</v>
      </c>
      <c r="K34" s="18">
        <v>4</v>
      </c>
      <c r="M34" s="18" t="s">
        <v>5183</v>
      </c>
      <c r="N34" s="18" t="s">
        <v>5390</v>
      </c>
      <c r="O34" s="18">
        <v>46456</v>
      </c>
      <c r="T34" s="18" t="s">
        <v>111</v>
      </c>
      <c r="U34" s="18" t="s">
        <v>5185</v>
      </c>
      <c r="V34" s="18" t="s">
        <v>106</v>
      </c>
      <c r="W34" s="18" t="s">
        <v>5124</v>
      </c>
      <c r="Y34" s="18" t="s">
        <v>5232</v>
      </c>
      <c r="Z34" s="18" t="s">
        <v>106</v>
      </c>
      <c r="AA34" s="18" t="s">
        <v>5163</v>
      </c>
      <c r="AC34" s="18" t="s">
        <v>5127</v>
      </c>
      <c r="AD34" s="18" t="s">
        <v>111</v>
      </c>
      <c r="AE34" s="18" t="s">
        <v>111</v>
      </c>
      <c r="AF34" s="18" t="s">
        <v>111</v>
      </c>
      <c r="AG34" s="18" t="s">
        <v>5127</v>
      </c>
      <c r="AH34" s="18" t="s">
        <v>111</v>
      </c>
      <c r="AI34" s="18">
        <v>0</v>
      </c>
      <c r="AK34" s="18" t="s">
        <v>5164</v>
      </c>
      <c r="AN34" s="18">
        <v>271</v>
      </c>
      <c r="AO34" s="18" t="s">
        <v>5391</v>
      </c>
      <c r="AP34" s="18" t="s">
        <v>5392</v>
      </c>
      <c r="AQ34" s="18" t="s">
        <v>5393</v>
      </c>
      <c r="AR34" s="18" t="s">
        <v>5168</v>
      </c>
      <c r="AT34" s="17">
        <f>(365*D34*0.7)/1000</f>
        <v>3544.0405000000001</v>
      </c>
      <c r="AU34" s="17">
        <f t="shared" si="0"/>
        <v>2</v>
      </c>
      <c r="AV34" s="18">
        <v>0</v>
      </c>
      <c r="AW34" s="18">
        <v>2</v>
      </c>
      <c r="AY34" s="18" t="s">
        <v>164</v>
      </c>
      <c r="BG34" s="18" t="s">
        <v>5394</v>
      </c>
      <c r="BI34" s="18">
        <v>2</v>
      </c>
      <c r="BQ34" s="18">
        <v>121</v>
      </c>
      <c r="BR34" s="18">
        <v>94</v>
      </c>
      <c r="BS34" s="18">
        <v>32</v>
      </c>
      <c r="BT34" s="18">
        <v>21</v>
      </c>
      <c r="BU34" s="18">
        <v>0</v>
      </c>
      <c r="BV34" s="18">
        <f>SUM(BQ34:BU34)</f>
        <v>268</v>
      </c>
      <c r="BW34" s="15">
        <f t="shared" si="1"/>
        <v>268</v>
      </c>
      <c r="BY34" s="18" t="s">
        <v>5134</v>
      </c>
      <c r="BZ34" s="18" t="s">
        <v>5395</v>
      </c>
      <c r="CD34" s="18" t="s">
        <v>5127</v>
      </c>
      <c r="CE34" s="18" t="s">
        <v>111</v>
      </c>
      <c r="CF34" s="18" t="s">
        <v>5135</v>
      </c>
      <c r="CG34" s="18" t="s">
        <v>5396</v>
      </c>
      <c r="CH34" s="18" t="s">
        <v>5241</v>
      </c>
      <c r="CI34" s="18" t="s">
        <v>5138</v>
      </c>
      <c r="CJ34" s="18" t="s">
        <v>5196</v>
      </c>
      <c r="CK34" s="18" t="s">
        <v>5197</v>
      </c>
      <c r="CL34" s="18">
        <v>0</v>
      </c>
      <c r="CM34" s="18">
        <v>0</v>
      </c>
      <c r="CN34" s="18">
        <v>0</v>
      </c>
      <c r="CO34" s="18">
        <v>1</v>
      </c>
      <c r="CP34" s="18">
        <v>1</v>
      </c>
      <c r="CQ34" s="18">
        <v>0</v>
      </c>
      <c r="CR34" s="18">
        <v>0</v>
      </c>
      <c r="CS34" s="18">
        <v>1</v>
      </c>
      <c r="CT34" s="18">
        <v>0</v>
      </c>
      <c r="CU34" s="18">
        <v>0</v>
      </c>
      <c r="CV34" s="18">
        <v>1</v>
      </c>
      <c r="CX34" s="18">
        <v>1</v>
      </c>
      <c r="CY34" s="18">
        <v>0</v>
      </c>
      <c r="CZ34" s="18">
        <v>1</v>
      </c>
      <c r="DA34" s="18">
        <v>0</v>
      </c>
      <c r="DB34" s="18">
        <v>1</v>
      </c>
      <c r="DC34" s="18">
        <v>0</v>
      </c>
      <c r="DD34" s="18">
        <v>1</v>
      </c>
      <c r="DE34" s="18">
        <v>1</v>
      </c>
      <c r="DF34" s="18">
        <v>0</v>
      </c>
      <c r="DG34" s="18">
        <v>1</v>
      </c>
      <c r="DH34" s="18">
        <v>1</v>
      </c>
      <c r="DI34" s="18">
        <v>1</v>
      </c>
      <c r="DK34" s="18">
        <v>0</v>
      </c>
      <c r="DL34" s="18">
        <v>1</v>
      </c>
      <c r="DM34" s="18" t="s">
        <v>5127</v>
      </c>
      <c r="DN34" s="18" t="s">
        <v>5172</v>
      </c>
      <c r="DO34" s="18" t="s">
        <v>5371</v>
      </c>
      <c r="DP34" s="18" t="s">
        <v>113</v>
      </c>
      <c r="DS34" s="18">
        <v>0</v>
      </c>
      <c r="DT34" s="18">
        <v>1</v>
      </c>
      <c r="DU34" s="18">
        <v>0</v>
      </c>
      <c r="DV34" s="18" t="s">
        <v>5397</v>
      </c>
      <c r="DX34" s="18" t="s">
        <v>5222</v>
      </c>
      <c r="DY34" s="18" t="s">
        <v>106</v>
      </c>
      <c r="DZ34" s="18" t="s">
        <v>106</v>
      </c>
      <c r="EA34" s="18" t="s">
        <v>5146</v>
      </c>
      <c r="EB34" s="18">
        <v>271</v>
      </c>
      <c r="EC34" s="18" t="s">
        <v>106</v>
      </c>
      <c r="ED34" s="18" t="s">
        <v>5176</v>
      </c>
      <c r="EH34" s="18" t="s">
        <v>5203</v>
      </c>
      <c r="EI34" s="18" t="s">
        <v>5204</v>
      </c>
      <c r="EJ34" s="18" t="s">
        <v>5343</v>
      </c>
      <c r="EN34" s="18" t="s">
        <v>113</v>
      </c>
      <c r="EO34" s="18" t="s">
        <v>113</v>
      </c>
      <c r="EP34" s="18" t="s">
        <v>113</v>
      </c>
      <c r="EQ34" s="18" t="s">
        <v>113</v>
      </c>
      <c r="ER34" s="18" t="s">
        <v>5152</v>
      </c>
      <c r="ET34" s="18" t="s">
        <v>5154</v>
      </c>
      <c r="EX34" s="18" t="s">
        <v>5158</v>
      </c>
      <c r="EY34" s="18" t="s">
        <v>5229</v>
      </c>
      <c r="EZ34" s="18" t="s">
        <v>5160</v>
      </c>
      <c r="FA34" s="18" t="s">
        <v>144</v>
      </c>
      <c r="FB34" s="18" t="s">
        <v>5161</v>
      </c>
    </row>
    <row r="35" spans="1:158" ht="10.5" customHeight="1" x14ac:dyDescent="0.2">
      <c r="A35" s="16">
        <v>41</v>
      </c>
      <c r="B35" s="16" t="s">
        <v>638</v>
      </c>
      <c r="C35" s="16" t="s">
        <v>637</v>
      </c>
      <c r="D35" s="16">
        <v>31807</v>
      </c>
      <c r="E35" s="16" t="s">
        <v>6658</v>
      </c>
      <c r="F35" s="18" t="s">
        <v>637</v>
      </c>
      <c r="G35" s="18" t="s">
        <v>113</v>
      </c>
      <c r="H35" s="15" t="s">
        <v>111</v>
      </c>
      <c r="AT35" s="17">
        <f>(365*D35*0.7)/1000</f>
        <v>8126.6884999999993</v>
      </c>
      <c r="AU35" s="17">
        <f t="shared" si="0"/>
        <v>0</v>
      </c>
      <c r="BW35" s="15">
        <f t="shared" si="1"/>
        <v>0</v>
      </c>
    </row>
    <row r="36" spans="1:158" ht="10.5" customHeight="1" x14ac:dyDescent="0.2">
      <c r="A36" s="16">
        <v>41</v>
      </c>
      <c r="B36" s="16" t="s">
        <v>665</v>
      </c>
      <c r="C36" s="16" t="s">
        <v>664</v>
      </c>
      <c r="D36" s="16">
        <v>10692</v>
      </c>
      <c r="E36" s="16" t="s">
        <v>6656</v>
      </c>
      <c r="F36" s="18" t="s">
        <v>664</v>
      </c>
      <c r="G36" s="18" t="s">
        <v>106</v>
      </c>
      <c r="H36" s="15" t="s">
        <v>5127</v>
      </c>
      <c r="I36" s="18">
        <v>6</v>
      </c>
      <c r="J36" s="18">
        <v>1</v>
      </c>
      <c r="K36" s="18">
        <v>5</v>
      </c>
      <c r="L36" s="18">
        <v>0</v>
      </c>
      <c r="M36" s="18" t="s">
        <v>5121</v>
      </c>
      <c r="N36" s="18" t="s">
        <v>5398</v>
      </c>
      <c r="O36" s="18">
        <v>46367</v>
      </c>
      <c r="T36" s="18" t="s">
        <v>111</v>
      </c>
      <c r="U36" s="18" t="s">
        <v>5250</v>
      </c>
      <c r="V36" s="18" t="s">
        <v>106</v>
      </c>
      <c r="W36" s="18" t="s">
        <v>5211</v>
      </c>
      <c r="Y36" s="18" t="s">
        <v>5232</v>
      </c>
      <c r="Z36" s="18" t="s">
        <v>106</v>
      </c>
      <c r="AA36" s="18" t="s">
        <v>5163</v>
      </c>
      <c r="AB36" s="18" t="s">
        <v>179</v>
      </c>
      <c r="AC36" s="18" t="s">
        <v>5127</v>
      </c>
      <c r="AD36" s="18" t="s">
        <v>5127</v>
      </c>
      <c r="AE36" s="18" t="s">
        <v>5127</v>
      </c>
      <c r="AF36" s="18" t="s">
        <v>111</v>
      </c>
      <c r="AG36" s="18" t="s">
        <v>5127</v>
      </c>
      <c r="AH36" s="18" t="s">
        <v>5127</v>
      </c>
      <c r="AI36" s="18">
        <v>1</v>
      </c>
      <c r="AK36" s="18" t="s">
        <v>5164</v>
      </c>
      <c r="AN36" s="18">
        <v>110</v>
      </c>
      <c r="AO36" s="18" t="s">
        <v>5186</v>
      </c>
      <c r="AP36" s="18" t="s">
        <v>5399</v>
      </c>
      <c r="AQ36" s="18" t="s">
        <v>5393</v>
      </c>
      <c r="AR36" s="18" t="s">
        <v>5132</v>
      </c>
      <c r="AT36" s="17">
        <f>(365*D36*0.7)/1000</f>
        <v>2731.806</v>
      </c>
      <c r="AU36" s="17">
        <f t="shared" si="0"/>
        <v>15</v>
      </c>
      <c r="AV36" s="18">
        <v>15</v>
      </c>
      <c r="AW36" s="18">
        <v>0</v>
      </c>
      <c r="AY36" s="18" t="s">
        <v>164</v>
      </c>
      <c r="BG36" s="18" t="s">
        <v>5400</v>
      </c>
      <c r="BH36" s="18">
        <f>600/1000</f>
        <v>0.6</v>
      </c>
      <c r="BQ36" s="18">
        <v>15</v>
      </c>
      <c r="BR36" s="18">
        <v>12</v>
      </c>
      <c r="BS36" s="18">
        <v>10</v>
      </c>
      <c r="BT36" s="18">
        <v>3</v>
      </c>
      <c r="BU36" s="18">
        <v>44</v>
      </c>
      <c r="BV36" s="18">
        <v>84</v>
      </c>
      <c r="BW36" s="15">
        <f t="shared" si="1"/>
        <v>84</v>
      </c>
      <c r="BY36" s="18" t="s">
        <v>5134</v>
      </c>
      <c r="BZ36" s="18" t="s">
        <v>193</v>
      </c>
      <c r="CD36" s="18" t="s">
        <v>5127</v>
      </c>
      <c r="CE36" s="18" t="s">
        <v>111</v>
      </c>
      <c r="CF36" s="18" t="s">
        <v>5135</v>
      </c>
      <c r="CG36" s="18" t="s">
        <v>5401</v>
      </c>
      <c r="CH36" s="18" t="s">
        <v>111</v>
      </c>
      <c r="CI36" s="18" t="s">
        <v>5138</v>
      </c>
      <c r="CJ36" s="18" t="s">
        <v>5139</v>
      </c>
      <c r="CK36" s="18" t="s">
        <v>5256</v>
      </c>
      <c r="CL36" s="18">
        <v>1</v>
      </c>
      <c r="CM36" s="18">
        <v>0</v>
      </c>
      <c r="CN36" s="18">
        <v>0</v>
      </c>
      <c r="CO36" s="18">
        <v>1</v>
      </c>
      <c r="CP36" s="18">
        <v>1</v>
      </c>
      <c r="CQ36" s="18">
        <v>1</v>
      </c>
      <c r="CR36" s="18">
        <v>0</v>
      </c>
      <c r="CS36" s="18" t="s">
        <v>5141</v>
      </c>
      <c r="CT36" s="18">
        <v>1</v>
      </c>
      <c r="CU36" s="18">
        <v>0</v>
      </c>
      <c r="CV36" s="18">
        <v>1</v>
      </c>
      <c r="CX36" s="18">
        <v>0</v>
      </c>
      <c r="CY36" s="18">
        <v>0</v>
      </c>
      <c r="CZ36" s="18">
        <v>0</v>
      </c>
      <c r="DA36" s="18">
        <v>1</v>
      </c>
      <c r="DB36" s="18">
        <v>0</v>
      </c>
      <c r="DC36" s="18">
        <v>0</v>
      </c>
      <c r="DD36" s="18">
        <v>0</v>
      </c>
      <c r="DE36" s="18">
        <v>0</v>
      </c>
      <c r="DF36" s="18">
        <v>0</v>
      </c>
      <c r="DG36" s="18">
        <v>0</v>
      </c>
      <c r="DH36" s="18">
        <v>0</v>
      </c>
      <c r="DI36" s="18">
        <v>0</v>
      </c>
      <c r="DK36" s="18">
        <v>0</v>
      </c>
      <c r="DL36" s="18">
        <v>0</v>
      </c>
      <c r="DM36" s="18" t="s">
        <v>5127</v>
      </c>
      <c r="DN36" s="18" t="s">
        <v>5172</v>
      </c>
      <c r="DO36" s="18" t="s">
        <v>5402</v>
      </c>
      <c r="DP36" s="18" t="s">
        <v>106</v>
      </c>
      <c r="DQ36" s="18" t="s">
        <v>5132</v>
      </c>
      <c r="DS36" s="18">
        <v>0</v>
      </c>
      <c r="DT36" s="18">
        <v>0</v>
      </c>
      <c r="DU36" s="18">
        <v>1</v>
      </c>
      <c r="DV36" s="18" t="s">
        <v>5403</v>
      </c>
      <c r="DX36" s="18" t="s">
        <v>5145</v>
      </c>
      <c r="DY36" s="18" t="s">
        <v>106</v>
      </c>
      <c r="DZ36" s="18" t="s">
        <v>113</v>
      </c>
      <c r="EA36" s="18" t="s">
        <v>5285</v>
      </c>
      <c r="EB36" s="18">
        <v>84</v>
      </c>
      <c r="EC36" s="18" t="s">
        <v>113</v>
      </c>
      <c r="ED36" s="18" t="s">
        <v>5176</v>
      </c>
      <c r="EE36" s="18" t="s">
        <v>106</v>
      </c>
      <c r="EF36" s="18" t="s">
        <v>106</v>
      </c>
      <c r="EG36" s="18" t="s">
        <v>5404</v>
      </c>
      <c r="EH36" s="18" t="s">
        <v>5149</v>
      </c>
      <c r="EI36" s="18" t="s">
        <v>5204</v>
      </c>
      <c r="EJ36" s="18" t="s">
        <v>5361</v>
      </c>
      <c r="EK36" s="18" t="s">
        <v>113</v>
      </c>
      <c r="EM36" s="18" t="s">
        <v>5227</v>
      </c>
      <c r="EN36" s="18" t="s">
        <v>113</v>
      </c>
      <c r="EO36" s="18" t="s">
        <v>113</v>
      </c>
      <c r="EP36" s="18" t="s">
        <v>113</v>
      </c>
      <c r="EQ36" s="18" t="s">
        <v>113</v>
      </c>
      <c r="ER36" s="18" t="s">
        <v>5289</v>
      </c>
      <c r="ES36" s="18" t="s">
        <v>5405</v>
      </c>
      <c r="ET36" s="18" t="s">
        <v>5154</v>
      </c>
      <c r="EU36" s="18" t="s">
        <v>5155</v>
      </c>
      <c r="EV36" s="18" t="s">
        <v>5372</v>
      </c>
      <c r="EW36" s="18" t="s">
        <v>5406</v>
      </c>
      <c r="EX36" s="18" t="s">
        <v>5158</v>
      </c>
      <c r="EY36" s="18" t="s">
        <v>5229</v>
      </c>
      <c r="EZ36" s="18" t="s">
        <v>5160</v>
      </c>
      <c r="FA36" s="18" t="s">
        <v>144</v>
      </c>
      <c r="FB36" s="18" t="s">
        <v>5161</v>
      </c>
    </row>
    <row r="37" spans="1:158" ht="10.5" customHeight="1" x14ac:dyDescent="0.2">
      <c r="A37" s="16">
        <v>41</v>
      </c>
      <c r="B37" s="16" t="s">
        <v>681</v>
      </c>
      <c r="C37" s="16" t="s">
        <v>680</v>
      </c>
      <c r="D37" s="16">
        <v>2866</v>
      </c>
      <c r="E37" s="16" t="s">
        <v>6656</v>
      </c>
      <c r="F37" s="18" t="s">
        <v>680</v>
      </c>
      <c r="G37" s="18" t="s">
        <v>113</v>
      </c>
      <c r="H37" s="15" t="s">
        <v>111</v>
      </c>
      <c r="AT37" s="17">
        <f>(365*D37*0.7)/1000</f>
        <v>732.26300000000003</v>
      </c>
      <c r="AU37" s="17">
        <f t="shared" si="0"/>
        <v>0</v>
      </c>
      <c r="BW37" s="15">
        <f t="shared" si="1"/>
        <v>0</v>
      </c>
    </row>
    <row r="38" spans="1:158" ht="10.5" customHeight="1" x14ac:dyDescent="0.2">
      <c r="A38" s="16">
        <v>41</v>
      </c>
      <c r="B38" s="16" t="s">
        <v>701</v>
      </c>
      <c r="C38" s="16" t="s">
        <v>700</v>
      </c>
      <c r="D38" s="16">
        <v>9900</v>
      </c>
      <c r="E38" s="16" t="s">
        <v>6656</v>
      </c>
      <c r="F38" s="18" t="s">
        <v>700</v>
      </c>
      <c r="G38" s="18" t="s">
        <v>106</v>
      </c>
      <c r="H38" s="15" t="s">
        <v>5127</v>
      </c>
      <c r="I38" s="18">
        <v>10</v>
      </c>
      <c r="J38" s="18">
        <v>6</v>
      </c>
      <c r="K38" s="18">
        <v>4</v>
      </c>
      <c r="L38" s="18">
        <v>0</v>
      </c>
      <c r="M38" s="18" t="s">
        <v>5121</v>
      </c>
      <c r="N38" s="18">
        <v>182667811</v>
      </c>
      <c r="O38" s="18">
        <v>48155</v>
      </c>
      <c r="T38" s="18" t="s">
        <v>111</v>
      </c>
      <c r="U38" s="18" t="s">
        <v>5250</v>
      </c>
      <c r="V38" s="18" t="s">
        <v>113</v>
      </c>
      <c r="W38" s="18" t="s">
        <v>5124</v>
      </c>
      <c r="Y38" s="18" t="s">
        <v>5407</v>
      </c>
      <c r="Z38" s="18" t="s">
        <v>113</v>
      </c>
      <c r="AA38" s="18" t="s">
        <v>5163</v>
      </c>
      <c r="AB38" s="18" t="s">
        <v>179</v>
      </c>
      <c r="AC38" s="18" t="s">
        <v>111</v>
      </c>
      <c r="AD38" s="18" t="s">
        <v>5127</v>
      </c>
      <c r="AE38" s="18" t="s">
        <v>111</v>
      </c>
      <c r="AF38" s="18" t="s">
        <v>111</v>
      </c>
      <c r="AG38" s="18" t="s">
        <v>5127</v>
      </c>
      <c r="AH38" s="18" t="s">
        <v>5127</v>
      </c>
      <c r="AI38" s="18">
        <v>1</v>
      </c>
      <c r="AK38" s="18" t="s">
        <v>5164</v>
      </c>
      <c r="AN38" s="18">
        <v>180000</v>
      </c>
      <c r="AO38" s="18" t="s">
        <v>5186</v>
      </c>
      <c r="AP38" s="18" t="s">
        <v>5408</v>
      </c>
      <c r="AQ38" s="18" t="s">
        <v>5409</v>
      </c>
      <c r="AR38" s="18" t="s">
        <v>5168</v>
      </c>
      <c r="AT38" s="17">
        <f>(365*D38*0.7)/1000</f>
        <v>2529.4499999999998</v>
      </c>
      <c r="AU38" s="17">
        <f t="shared" si="0"/>
        <v>0</v>
      </c>
      <c r="AV38" s="18">
        <v>0</v>
      </c>
      <c r="AW38" s="18">
        <v>0</v>
      </c>
      <c r="AY38" s="18" t="s">
        <v>164</v>
      </c>
      <c r="AZ38" s="18">
        <v>0</v>
      </c>
      <c r="BA38" s="18">
        <v>0</v>
      </c>
      <c r="BB38" s="18">
        <v>0</v>
      </c>
      <c r="BD38" s="18">
        <f>10000/1000</f>
        <v>10</v>
      </c>
      <c r="BE38" s="18">
        <v>0</v>
      </c>
      <c r="BG38" s="18" t="s">
        <v>5400</v>
      </c>
      <c r="BH38" s="18">
        <v>0</v>
      </c>
      <c r="BI38" s="18">
        <v>0</v>
      </c>
      <c r="BJ38" s="18">
        <v>0</v>
      </c>
      <c r="BQ38" s="18">
        <v>130</v>
      </c>
      <c r="BR38" s="18">
        <v>35</v>
      </c>
      <c r="BS38" s="18">
        <v>22</v>
      </c>
      <c r="BT38" s="18">
        <v>0</v>
      </c>
      <c r="BU38" s="18">
        <v>36</v>
      </c>
      <c r="BV38" s="18">
        <v>223</v>
      </c>
      <c r="BW38" s="15">
        <f t="shared" si="1"/>
        <v>223</v>
      </c>
      <c r="BY38" s="18" t="s">
        <v>5134</v>
      </c>
      <c r="BZ38" s="18" t="s">
        <v>5240</v>
      </c>
      <c r="CD38" s="18" t="s">
        <v>5127</v>
      </c>
      <c r="CE38" s="18" t="s">
        <v>5127</v>
      </c>
      <c r="CF38" s="18" t="s">
        <v>5135</v>
      </c>
      <c r="CG38" s="18" t="s">
        <v>5410</v>
      </c>
      <c r="CH38" s="18" t="s">
        <v>5194</v>
      </c>
      <c r="CI38" s="18" t="s">
        <v>5138</v>
      </c>
      <c r="CJ38" s="18" t="s">
        <v>5196</v>
      </c>
      <c r="CK38" s="18" t="s">
        <v>5256</v>
      </c>
      <c r="CL38" s="18">
        <v>1</v>
      </c>
      <c r="CM38" s="18">
        <v>0</v>
      </c>
      <c r="CN38" s="18">
        <v>0</v>
      </c>
      <c r="CO38" s="18">
        <v>1</v>
      </c>
      <c r="CP38" s="18">
        <v>2</v>
      </c>
      <c r="CQ38" s="18">
        <v>1</v>
      </c>
      <c r="CR38" s="18">
        <v>0</v>
      </c>
      <c r="CS38" s="18">
        <v>1</v>
      </c>
      <c r="CT38" s="18">
        <v>0</v>
      </c>
      <c r="CU38" s="18">
        <v>0</v>
      </c>
      <c r="CV38" s="18">
        <v>1</v>
      </c>
      <c r="CX38" s="18">
        <v>1</v>
      </c>
      <c r="CY38" s="18">
        <v>1</v>
      </c>
      <c r="CZ38" s="18">
        <v>1</v>
      </c>
      <c r="DA38" s="18">
        <v>2</v>
      </c>
      <c r="DB38" s="18">
        <v>1</v>
      </c>
      <c r="DC38" s="18">
        <v>1</v>
      </c>
      <c r="DD38" s="18">
        <v>1</v>
      </c>
      <c r="DE38" s="18" t="s">
        <v>5141</v>
      </c>
      <c r="DF38" s="18" t="s">
        <v>5141</v>
      </c>
      <c r="DG38" s="18">
        <v>1</v>
      </c>
      <c r="DH38" s="18">
        <v>1</v>
      </c>
      <c r="DI38" s="18" t="s">
        <v>5141</v>
      </c>
      <c r="DK38" s="18">
        <v>0</v>
      </c>
      <c r="DL38" s="18">
        <v>1</v>
      </c>
      <c r="DM38" s="18" t="s">
        <v>5127</v>
      </c>
      <c r="DN38" s="18" t="s">
        <v>5172</v>
      </c>
      <c r="DO38" s="18" t="s">
        <v>5411</v>
      </c>
      <c r="DP38" s="18" t="s">
        <v>106</v>
      </c>
      <c r="DQ38" s="18" t="s">
        <v>5168</v>
      </c>
      <c r="DS38" s="18">
        <v>0</v>
      </c>
      <c r="DT38" s="18">
        <v>0</v>
      </c>
      <c r="DU38" s="18">
        <v>1</v>
      </c>
      <c r="DV38" s="18" t="s">
        <v>5260</v>
      </c>
      <c r="DX38" s="18" t="s">
        <v>5145</v>
      </c>
      <c r="DY38" s="18" t="s">
        <v>106</v>
      </c>
      <c r="DZ38" s="18" t="s">
        <v>113</v>
      </c>
      <c r="EA38" s="18" t="s">
        <v>5243</v>
      </c>
      <c r="EB38" s="18">
        <v>15600</v>
      </c>
      <c r="EC38" s="18" t="s">
        <v>113</v>
      </c>
      <c r="ED38" s="18" t="s">
        <v>5147</v>
      </c>
      <c r="EE38" s="18" t="s">
        <v>113</v>
      </c>
      <c r="EF38" s="18" t="s">
        <v>113</v>
      </c>
      <c r="EG38" s="18" t="s">
        <v>5404</v>
      </c>
      <c r="EH38" s="18" t="s">
        <v>5203</v>
      </c>
      <c r="EI38" s="18" t="s">
        <v>5204</v>
      </c>
      <c r="EJ38" s="18" t="s">
        <v>5412</v>
      </c>
      <c r="EK38" s="18" t="s">
        <v>113</v>
      </c>
      <c r="EL38" s="18" t="s">
        <v>5413</v>
      </c>
      <c r="EM38" s="18" t="s">
        <v>5414</v>
      </c>
      <c r="EN38" s="18" t="s">
        <v>113</v>
      </c>
      <c r="EO38" s="18" t="s">
        <v>106</v>
      </c>
      <c r="EP38" s="18" t="s">
        <v>113</v>
      </c>
      <c r="EQ38" s="18" t="s">
        <v>113</v>
      </c>
      <c r="ER38" s="18" t="s">
        <v>5152</v>
      </c>
      <c r="ES38" s="18" t="s">
        <v>5153</v>
      </c>
      <c r="ET38" s="18" t="s">
        <v>5154</v>
      </c>
      <c r="EU38" s="18" t="s">
        <v>5289</v>
      </c>
      <c r="EV38" s="18" t="s">
        <v>5415</v>
      </c>
      <c r="EW38" s="18" t="s">
        <v>179</v>
      </c>
      <c r="EX38" s="18" t="s">
        <v>5158</v>
      </c>
      <c r="EY38" s="18" t="s">
        <v>5181</v>
      </c>
      <c r="EZ38" s="18" t="s">
        <v>5160</v>
      </c>
      <c r="FA38" s="18" t="s">
        <v>144</v>
      </c>
      <c r="FB38" s="18" t="s">
        <v>5161</v>
      </c>
    </row>
    <row r="39" spans="1:158" ht="10.5" customHeight="1" x14ac:dyDescent="0.2">
      <c r="A39" s="16">
        <v>41</v>
      </c>
      <c r="B39" s="16" t="s">
        <v>717</v>
      </c>
      <c r="C39" s="16" t="s">
        <v>716</v>
      </c>
      <c r="D39" s="16">
        <v>4100</v>
      </c>
      <c r="E39" s="16" t="s">
        <v>6656</v>
      </c>
      <c r="H39" s="15" t="s">
        <v>6661</v>
      </c>
      <c r="AT39" s="17">
        <f>(365*D39*0.7)/1000</f>
        <v>1047.55</v>
      </c>
      <c r="AU39" s="17">
        <f t="shared" si="0"/>
        <v>0</v>
      </c>
      <c r="BW39" s="15">
        <f t="shared" si="1"/>
        <v>0</v>
      </c>
    </row>
    <row r="40" spans="1:158" ht="10.5" customHeight="1" x14ac:dyDescent="0.2">
      <c r="A40" s="16">
        <v>41</v>
      </c>
      <c r="B40" s="16" t="s">
        <v>734</v>
      </c>
      <c r="C40" s="16" t="s">
        <v>733</v>
      </c>
      <c r="D40" s="16">
        <v>14998</v>
      </c>
      <c r="E40" s="16" t="s">
        <v>6656</v>
      </c>
      <c r="F40" s="18" t="s">
        <v>733</v>
      </c>
      <c r="G40" s="18" t="s">
        <v>106</v>
      </c>
      <c r="H40" s="15" t="s">
        <v>5127</v>
      </c>
      <c r="I40" s="18">
        <v>15</v>
      </c>
      <c r="J40" s="18">
        <v>6</v>
      </c>
      <c r="K40" s="18">
        <v>9</v>
      </c>
      <c r="L40" s="18">
        <v>0</v>
      </c>
      <c r="M40" s="18" t="s">
        <v>5230</v>
      </c>
      <c r="N40" s="18" t="s">
        <v>736</v>
      </c>
      <c r="T40" s="18" t="s">
        <v>111</v>
      </c>
      <c r="U40" s="18" t="s">
        <v>5250</v>
      </c>
      <c r="V40" s="18" t="s">
        <v>113</v>
      </c>
      <c r="W40" s="18" t="s">
        <v>113</v>
      </c>
      <c r="Y40" s="18" t="s">
        <v>5232</v>
      </c>
      <c r="Z40" s="18" t="s">
        <v>113</v>
      </c>
      <c r="AA40" s="18" t="s">
        <v>5267</v>
      </c>
      <c r="AC40" s="18" t="s">
        <v>111</v>
      </c>
      <c r="AD40" s="18" t="s">
        <v>111</v>
      </c>
      <c r="AE40" s="18" t="s">
        <v>111</v>
      </c>
      <c r="AF40" s="18" t="s">
        <v>111</v>
      </c>
      <c r="AG40" s="18" t="s">
        <v>5127</v>
      </c>
      <c r="AH40" s="18" t="s">
        <v>111</v>
      </c>
      <c r="AI40" s="18">
        <v>0</v>
      </c>
      <c r="AK40" s="18" t="s">
        <v>5164</v>
      </c>
      <c r="AN40" s="18">
        <v>2504</v>
      </c>
      <c r="AO40" s="18" t="s">
        <v>5391</v>
      </c>
      <c r="AP40" s="18" t="s">
        <v>5416</v>
      </c>
      <c r="AQ40" s="18" t="s">
        <v>5252</v>
      </c>
      <c r="AR40" s="18" t="s">
        <v>5168</v>
      </c>
      <c r="AT40" s="17">
        <f>(365*D40*0.7)/1000</f>
        <v>3831.9889999999996</v>
      </c>
      <c r="AU40" s="17">
        <f t="shared" si="0"/>
        <v>200</v>
      </c>
      <c r="AV40" s="18">
        <v>200</v>
      </c>
      <c r="AW40" s="18">
        <v>0</v>
      </c>
      <c r="AY40" s="18" t="s">
        <v>5417</v>
      </c>
      <c r="BG40" s="18" t="s">
        <v>5418</v>
      </c>
      <c r="BQ40" s="18">
        <v>60</v>
      </c>
      <c r="BR40" s="18">
        <v>80</v>
      </c>
      <c r="BS40" s="18">
        <v>20</v>
      </c>
      <c r="BT40" s="18">
        <v>50</v>
      </c>
      <c r="BU40" s="18">
        <v>90</v>
      </c>
      <c r="BV40" s="18">
        <f>SUM(BQ40:BU40)</f>
        <v>300</v>
      </c>
      <c r="BW40" s="15">
        <f t="shared" si="1"/>
        <v>300</v>
      </c>
      <c r="BY40" s="18" t="s">
        <v>5419</v>
      </c>
      <c r="BZ40" s="18" t="s">
        <v>5240</v>
      </c>
      <c r="CD40" s="18" t="s">
        <v>5127</v>
      </c>
      <c r="CE40" s="18" t="s">
        <v>5127</v>
      </c>
      <c r="CF40" s="18" t="s">
        <v>5282</v>
      </c>
      <c r="CG40" s="18" t="s">
        <v>5420</v>
      </c>
      <c r="CH40" s="18" t="s">
        <v>111</v>
      </c>
      <c r="CI40" s="18" t="s">
        <v>111</v>
      </c>
      <c r="CJ40" s="18" t="s">
        <v>5139</v>
      </c>
      <c r="CK40" s="18" t="s">
        <v>179</v>
      </c>
      <c r="CL40" s="18">
        <v>3</v>
      </c>
      <c r="CM40" s="18">
        <v>0</v>
      </c>
      <c r="CN40" s="18">
        <v>0</v>
      </c>
      <c r="CO40" s="18">
        <v>0</v>
      </c>
      <c r="CP40" s="18">
        <v>1</v>
      </c>
      <c r="CQ40" s="18">
        <v>0</v>
      </c>
      <c r="CR40" s="18">
        <v>0</v>
      </c>
      <c r="CS40" s="18" t="s">
        <v>5141</v>
      </c>
      <c r="CT40" s="18">
        <v>0</v>
      </c>
      <c r="CU40" s="18">
        <v>1</v>
      </c>
      <c r="CV40" s="18">
        <v>0</v>
      </c>
      <c r="CX40" s="18">
        <v>1</v>
      </c>
      <c r="CY40" s="18">
        <v>1</v>
      </c>
      <c r="CZ40" s="18">
        <v>1</v>
      </c>
      <c r="DA40" s="18">
        <v>0</v>
      </c>
      <c r="DB40" s="18">
        <v>1</v>
      </c>
      <c r="DC40" s="18">
        <v>1</v>
      </c>
      <c r="DD40" s="18">
        <v>1</v>
      </c>
      <c r="DE40" s="18">
        <v>0</v>
      </c>
      <c r="DF40" s="18">
        <v>2</v>
      </c>
      <c r="DG40" s="18">
        <v>0</v>
      </c>
      <c r="DH40" s="18">
        <v>2</v>
      </c>
      <c r="DI40" s="18">
        <v>1</v>
      </c>
      <c r="DK40" s="18">
        <v>0</v>
      </c>
      <c r="DL40" s="18">
        <v>0</v>
      </c>
      <c r="DM40" s="18" t="s">
        <v>5127</v>
      </c>
      <c r="DN40" s="18" t="s">
        <v>5258</v>
      </c>
      <c r="DO40" s="18" t="s">
        <v>5259</v>
      </c>
      <c r="DP40" s="18" t="s">
        <v>113</v>
      </c>
      <c r="DS40" s="18">
        <v>0</v>
      </c>
      <c r="DT40" s="18">
        <v>0</v>
      </c>
      <c r="DU40" s="18">
        <v>0</v>
      </c>
      <c r="DV40" s="18" t="s">
        <v>5377</v>
      </c>
      <c r="DX40" s="18" t="s">
        <v>5145</v>
      </c>
      <c r="DY40" s="18" t="s">
        <v>106</v>
      </c>
      <c r="DZ40" s="18" t="s">
        <v>113</v>
      </c>
      <c r="EA40" s="18" t="s">
        <v>5421</v>
      </c>
      <c r="EB40" s="18">
        <v>2200</v>
      </c>
      <c r="EC40" s="18" t="s">
        <v>113</v>
      </c>
      <c r="ED40" s="18" t="s">
        <v>5176</v>
      </c>
      <c r="EE40" s="18" t="s">
        <v>113</v>
      </c>
      <c r="EF40" s="18" t="s">
        <v>113</v>
      </c>
      <c r="EG40" s="18" t="s">
        <v>5404</v>
      </c>
      <c r="EH40" s="18" t="s">
        <v>5149</v>
      </c>
      <c r="EI40" s="18" t="s">
        <v>5150</v>
      </c>
      <c r="EJ40" s="18" t="s">
        <v>5422</v>
      </c>
      <c r="EK40" s="18" t="s">
        <v>113</v>
      </c>
      <c r="EN40" s="18" t="s">
        <v>113</v>
      </c>
      <c r="EO40" s="18" t="s">
        <v>106</v>
      </c>
      <c r="EP40" s="18" t="s">
        <v>113</v>
      </c>
      <c r="EQ40" s="18" t="s">
        <v>113</v>
      </c>
      <c r="ER40" s="18" t="s">
        <v>5152</v>
      </c>
      <c r="ES40" s="18" t="s">
        <v>5153</v>
      </c>
      <c r="ET40" s="18" t="s">
        <v>5154</v>
      </c>
      <c r="EU40" s="18" t="s">
        <v>5155</v>
      </c>
      <c r="EV40" s="18" t="s">
        <v>179</v>
      </c>
      <c r="EW40" s="18" t="s">
        <v>5180</v>
      </c>
      <c r="EX40" s="18" t="s">
        <v>5158</v>
      </c>
      <c r="EY40" s="18" t="s">
        <v>5229</v>
      </c>
      <c r="EZ40" s="18" t="s">
        <v>5160</v>
      </c>
      <c r="FA40" s="18" t="s">
        <v>144</v>
      </c>
      <c r="FB40" s="18" t="s">
        <v>5161</v>
      </c>
    </row>
    <row r="41" spans="1:158" ht="10.5" customHeight="1" x14ac:dyDescent="0.2">
      <c r="A41" s="16">
        <v>41</v>
      </c>
      <c r="B41" s="16" t="s">
        <v>750</v>
      </c>
      <c r="C41" s="16" t="s">
        <v>749</v>
      </c>
      <c r="D41" s="16">
        <v>15689</v>
      </c>
      <c r="E41" s="16" t="s">
        <v>6658</v>
      </c>
      <c r="F41" s="18" t="s">
        <v>749</v>
      </c>
      <c r="G41" s="18" t="s">
        <v>106</v>
      </c>
      <c r="H41" s="15" t="s">
        <v>5127</v>
      </c>
      <c r="I41" s="18">
        <v>18</v>
      </c>
      <c r="J41" s="18">
        <v>14</v>
      </c>
      <c r="K41" s="18">
        <v>4</v>
      </c>
      <c r="L41" s="18">
        <v>0</v>
      </c>
      <c r="M41" s="18" t="s">
        <v>5183</v>
      </c>
      <c r="N41" s="18" t="s">
        <v>5423</v>
      </c>
      <c r="O41" s="18">
        <v>45895</v>
      </c>
      <c r="T41" s="18" t="s">
        <v>111</v>
      </c>
      <c r="U41" s="18" t="s">
        <v>5123</v>
      </c>
      <c r="V41" s="18" t="s">
        <v>106</v>
      </c>
      <c r="W41" s="18" t="s">
        <v>5124</v>
      </c>
      <c r="Y41" s="18" t="s">
        <v>5212</v>
      </c>
      <c r="Z41" s="18" t="s">
        <v>106</v>
      </c>
      <c r="AA41" s="18" t="s">
        <v>5163</v>
      </c>
      <c r="AB41" s="18" t="s">
        <v>179</v>
      </c>
      <c r="AC41" s="18" t="s">
        <v>5127</v>
      </c>
      <c r="AD41" s="18" t="s">
        <v>5127</v>
      </c>
      <c r="AE41" s="18" t="s">
        <v>5127</v>
      </c>
      <c r="AF41" s="18" t="s">
        <v>5127</v>
      </c>
      <c r="AG41" s="18" t="s">
        <v>5127</v>
      </c>
      <c r="AH41" s="18" t="s">
        <v>5127</v>
      </c>
      <c r="AI41" s="18">
        <v>2</v>
      </c>
      <c r="AK41" s="18" t="s">
        <v>5424</v>
      </c>
      <c r="AN41" s="18">
        <v>1200</v>
      </c>
      <c r="AO41" s="18" t="s">
        <v>5165</v>
      </c>
      <c r="AP41" s="18" t="s">
        <v>5425</v>
      </c>
      <c r="AQ41" s="18" t="s">
        <v>5269</v>
      </c>
      <c r="AR41" s="18" t="s">
        <v>5168</v>
      </c>
      <c r="AT41" s="17">
        <f>(365*D41*0.7)/1000</f>
        <v>4008.5394999999994</v>
      </c>
      <c r="AU41" s="17">
        <f t="shared" si="0"/>
        <v>390</v>
      </c>
      <c r="AV41" s="18">
        <v>390</v>
      </c>
      <c r="AW41" s="18">
        <v>0</v>
      </c>
      <c r="AY41" s="18" t="s">
        <v>439</v>
      </c>
      <c r="AZ41" s="18">
        <v>0</v>
      </c>
      <c r="BA41" s="18">
        <v>0</v>
      </c>
      <c r="BE41" s="18">
        <v>6000</v>
      </c>
      <c r="BG41" s="18" t="s">
        <v>5426</v>
      </c>
      <c r="BQ41" s="18">
        <v>200</v>
      </c>
      <c r="BR41" s="18">
        <v>185</v>
      </c>
      <c r="BS41" s="18">
        <v>50</v>
      </c>
      <c r="BT41" s="18">
        <v>50</v>
      </c>
      <c r="BU41" s="18">
        <v>25</v>
      </c>
      <c r="BV41" s="18">
        <v>510</v>
      </c>
      <c r="BW41" s="15">
        <f t="shared" si="1"/>
        <v>510</v>
      </c>
      <c r="BY41" s="18" t="s">
        <v>5134</v>
      </c>
      <c r="BZ41" s="18" t="s">
        <v>5312</v>
      </c>
      <c r="CD41" s="18" t="s">
        <v>5127</v>
      </c>
      <c r="CE41" s="18" t="s">
        <v>5127</v>
      </c>
      <c r="CF41" s="18" t="s">
        <v>5282</v>
      </c>
      <c r="CG41" s="18" t="s">
        <v>5427</v>
      </c>
      <c r="CH41" s="18" t="s">
        <v>5241</v>
      </c>
      <c r="CI41" s="18" t="s">
        <v>5138</v>
      </c>
      <c r="CJ41" s="18" t="s">
        <v>5196</v>
      </c>
      <c r="CK41" s="18" t="s">
        <v>5171</v>
      </c>
      <c r="CL41" s="18">
        <v>3</v>
      </c>
      <c r="CM41" s="18">
        <v>0</v>
      </c>
      <c r="CN41" s="18">
        <v>2</v>
      </c>
      <c r="CO41" s="18">
        <v>2</v>
      </c>
      <c r="CP41" s="18">
        <v>4</v>
      </c>
      <c r="CQ41" s="18">
        <v>1</v>
      </c>
      <c r="CR41" s="18">
        <v>3</v>
      </c>
      <c r="CS41" s="18" t="s">
        <v>5141</v>
      </c>
      <c r="CT41" s="18">
        <v>1</v>
      </c>
      <c r="CU41" s="18">
        <v>1</v>
      </c>
      <c r="CV41" s="18">
        <v>1</v>
      </c>
      <c r="CX41" s="18">
        <v>0</v>
      </c>
      <c r="CY41" s="18">
        <v>0</v>
      </c>
      <c r="CZ41" s="18">
        <v>0</v>
      </c>
      <c r="DA41" s="18">
        <v>0</v>
      </c>
      <c r="DB41" s="18">
        <v>0</v>
      </c>
      <c r="DC41" s="18">
        <v>2</v>
      </c>
      <c r="DD41" s="18">
        <v>1</v>
      </c>
      <c r="DE41" s="18">
        <v>0</v>
      </c>
      <c r="DF41" s="18" t="s">
        <v>5257</v>
      </c>
      <c r="DG41" s="18">
        <v>1</v>
      </c>
      <c r="DH41" s="18">
        <v>0</v>
      </c>
      <c r="DI41" s="18">
        <v>0</v>
      </c>
      <c r="DK41" s="18">
        <v>0</v>
      </c>
      <c r="DL41" s="18">
        <v>0</v>
      </c>
      <c r="DM41" s="18" t="s">
        <v>5127</v>
      </c>
      <c r="DN41" s="18" t="s">
        <v>5172</v>
      </c>
      <c r="DO41" s="18" t="s">
        <v>5143</v>
      </c>
      <c r="DP41" s="18" t="s">
        <v>106</v>
      </c>
      <c r="DQ41" s="18" t="s">
        <v>179</v>
      </c>
      <c r="DS41" s="18">
        <v>300</v>
      </c>
      <c r="DT41" s="18">
        <v>2</v>
      </c>
      <c r="DU41" s="18">
        <v>2</v>
      </c>
      <c r="DV41" s="18" t="s">
        <v>5342</v>
      </c>
      <c r="DX41" s="18" t="s">
        <v>5222</v>
      </c>
      <c r="DY41" s="18" t="s">
        <v>106</v>
      </c>
      <c r="DZ41" s="18" t="s">
        <v>106</v>
      </c>
      <c r="EA41" s="18" t="s">
        <v>5146</v>
      </c>
      <c r="EB41" s="18">
        <v>510</v>
      </c>
      <c r="EC41" s="18" t="s">
        <v>106</v>
      </c>
      <c r="ED41" s="18" t="s">
        <v>5147</v>
      </c>
      <c r="EE41" s="18" t="s">
        <v>106</v>
      </c>
      <c r="EF41" s="18" t="s">
        <v>113</v>
      </c>
      <c r="EG41" s="18" t="s">
        <v>5148</v>
      </c>
      <c r="EH41" s="18" t="s">
        <v>5203</v>
      </c>
      <c r="EI41" s="18" t="s">
        <v>5204</v>
      </c>
      <c r="EJ41" s="18" t="s">
        <v>5428</v>
      </c>
      <c r="EK41" s="18" t="s">
        <v>5362</v>
      </c>
      <c r="EL41" s="18" t="s">
        <v>5429</v>
      </c>
      <c r="EM41" s="18" t="s">
        <v>5430</v>
      </c>
      <c r="EN41" s="18" t="s">
        <v>106</v>
      </c>
      <c r="EO41" s="18" t="s">
        <v>113</v>
      </c>
      <c r="EP41" s="18" t="s">
        <v>113</v>
      </c>
      <c r="EQ41" s="18" t="s">
        <v>113</v>
      </c>
      <c r="ER41" s="18" t="s">
        <v>5206</v>
      </c>
      <c r="ES41" s="18" t="s">
        <v>5153</v>
      </c>
      <c r="ET41" s="18" t="s">
        <v>5154</v>
      </c>
      <c r="EU41" s="18" t="s">
        <v>5318</v>
      </c>
      <c r="EV41" s="18" t="s">
        <v>5372</v>
      </c>
      <c r="EW41" s="18" t="s">
        <v>5431</v>
      </c>
      <c r="EX41" s="18" t="s">
        <v>5158</v>
      </c>
      <c r="EY41" s="18" t="s">
        <v>5229</v>
      </c>
      <c r="EZ41" s="18" t="s">
        <v>5160</v>
      </c>
      <c r="FA41" s="18" t="s">
        <v>144</v>
      </c>
      <c r="FB41" s="18" t="s">
        <v>5161</v>
      </c>
    </row>
    <row r="42" spans="1:158" ht="10.5" customHeight="1" x14ac:dyDescent="0.2">
      <c r="A42" s="16">
        <v>41</v>
      </c>
      <c r="B42" s="16" t="s">
        <v>1408</v>
      </c>
      <c r="C42" s="16" t="s">
        <v>1409</v>
      </c>
      <c r="D42" s="16">
        <v>4622</v>
      </c>
      <c r="E42" s="16" t="s">
        <v>6656</v>
      </c>
      <c r="H42" s="15" t="s">
        <v>6661</v>
      </c>
      <c r="AT42" s="17">
        <f>(365*D42*0.7)/1000</f>
        <v>1180.921</v>
      </c>
      <c r="AU42" s="17">
        <f t="shared" si="0"/>
        <v>0</v>
      </c>
      <c r="BW42" s="15">
        <f t="shared" si="1"/>
        <v>0</v>
      </c>
    </row>
    <row r="43" spans="1:158" ht="10.5" customHeight="1" x14ac:dyDescent="0.2">
      <c r="A43" s="16">
        <v>41</v>
      </c>
      <c r="B43" s="16" t="s">
        <v>773</v>
      </c>
      <c r="C43" s="16" t="s">
        <v>772</v>
      </c>
      <c r="D43" s="16">
        <v>2448</v>
      </c>
      <c r="E43" s="16" t="s">
        <v>6656</v>
      </c>
      <c r="F43" s="18" t="s">
        <v>772</v>
      </c>
      <c r="G43" s="18" t="s">
        <v>113</v>
      </c>
      <c r="H43" s="15" t="s">
        <v>111</v>
      </c>
      <c r="AT43" s="17">
        <f>(365*D43*0.7)/1000</f>
        <v>625.46400000000006</v>
      </c>
      <c r="AU43" s="17">
        <f t="shared" si="0"/>
        <v>0</v>
      </c>
      <c r="BW43" s="15">
        <f t="shared" si="1"/>
        <v>0</v>
      </c>
    </row>
    <row r="44" spans="1:158" ht="10.5" customHeight="1" x14ac:dyDescent="0.2">
      <c r="A44" s="16">
        <v>41</v>
      </c>
      <c r="B44" s="16" t="s">
        <v>792</v>
      </c>
      <c r="C44" s="16" t="s">
        <v>791</v>
      </c>
      <c r="D44" s="16">
        <v>6244</v>
      </c>
      <c r="E44" s="16" t="s">
        <v>6656</v>
      </c>
      <c r="H44" s="15" t="s">
        <v>6661</v>
      </c>
      <c r="AT44" s="17">
        <f>(365*D44*0.7)/1000</f>
        <v>1595.3420000000001</v>
      </c>
      <c r="AU44" s="17">
        <f t="shared" si="0"/>
        <v>0</v>
      </c>
      <c r="BW44" s="15">
        <f t="shared" si="1"/>
        <v>0</v>
      </c>
    </row>
    <row r="45" spans="1:158" ht="10.5" customHeight="1" x14ac:dyDescent="0.2">
      <c r="A45" s="16">
        <v>41</v>
      </c>
      <c r="B45" s="16" t="s">
        <v>807</v>
      </c>
      <c r="C45" s="16" t="s">
        <v>806</v>
      </c>
      <c r="D45" s="16">
        <v>8034</v>
      </c>
      <c r="E45" s="16" t="s">
        <v>6656</v>
      </c>
      <c r="F45" s="18" t="s">
        <v>806</v>
      </c>
      <c r="G45" s="18" t="s">
        <v>106</v>
      </c>
      <c r="H45" s="15" t="s">
        <v>5127</v>
      </c>
      <c r="I45" s="18">
        <v>10</v>
      </c>
      <c r="J45" s="18">
        <v>6</v>
      </c>
      <c r="K45" s="18">
        <v>4</v>
      </c>
      <c r="L45" s="18">
        <v>0</v>
      </c>
      <c r="M45" s="18" t="s">
        <v>5183</v>
      </c>
      <c r="N45" s="18" t="s">
        <v>5432</v>
      </c>
      <c r="O45" s="18">
        <v>47884</v>
      </c>
      <c r="T45" s="18" t="s">
        <v>111</v>
      </c>
      <c r="U45" s="18" t="s">
        <v>5185</v>
      </c>
      <c r="V45" s="18" t="s">
        <v>113</v>
      </c>
      <c r="W45" s="18" t="s">
        <v>113</v>
      </c>
      <c r="Y45" s="18" t="s">
        <v>5212</v>
      </c>
      <c r="Z45" s="18" t="s">
        <v>106</v>
      </c>
      <c r="AA45" s="18" t="s">
        <v>5163</v>
      </c>
      <c r="AB45" s="18" t="s">
        <v>5233</v>
      </c>
      <c r="AC45" s="18" t="s">
        <v>5127</v>
      </c>
      <c r="AD45" s="18" t="s">
        <v>5127</v>
      </c>
      <c r="AE45" s="18" t="s">
        <v>5127</v>
      </c>
      <c r="AF45" s="18" t="s">
        <v>5127</v>
      </c>
      <c r="AG45" s="18" t="s">
        <v>5127</v>
      </c>
      <c r="AH45" s="18" t="s">
        <v>5127</v>
      </c>
      <c r="AI45" s="18">
        <v>1</v>
      </c>
      <c r="AK45" s="18" t="s">
        <v>5164</v>
      </c>
      <c r="AN45" s="18">
        <v>290000</v>
      </c>
      <c r="AO45" s="18" t="s">
        <v>5165</v>
      </c>
      <c r="AP45" s="18" t="s">
        <v>5433</v>
      </c>
      <c r="AQ45" s="18" t="s">
        <v>5269</v>
      </c>
      <c r="AR45" s="18" t="s">
        <v>5168</v>
      </c>
      <c r="AT45" s="17">
        <f>(365*D45*0.7)/1000</f>
        <v>2052.6869999999999</v>
      </c>
      <c r="AU45" s="17">
        <f t="shared" si="0"/>
        <v>39.24</v>
      </c>
      <c r="AV45" s="18">
        <f>39240/1000</f>
        <v>39.24</v>
      </c>
      <c r="AW45" s="18">
        <v>0</v>
      </c>
      <c r="AY45" s="18" t="s">
        <v>164</v>
      </c>
      <c r="AZ45" s="18">
        <f>7.4/1000</f>
        <v>7.4000000000000003E-3</v>
      </c>
      <c r="BA45" s="18">
        <v>0</v>
      </c>
      <c r="BB45" s="18">
        <v>0</v>
      </c>
      <c r="BD45" s="18">
        <v>0</v>
      </c>
      <c r="BE45" s="18">
        <v>0</v>
      </c>
      <c r="BG45" s="18" t="s">
        <v>5169</v>
      </c>
      <c r="BH45" s="18">
        <v>0</v>
      </c>
      <c r="BI45" s="18">
        <v>104</v>
      </c>
      <c r="BJ45" s="18">
        <v>0</v>
      </c>
      <c r="BQ45" s="18">
        <f>10005.07/1000</f>
        <v>10.00507</v>
      </c>
      <c r="BR45" s="19">
        <f>460.0007/1000</f>
        <v>0.46000069999999998</v>
      </c>
      <c r="BS45" s="19">
        <f>260.0004/1000</f>
        <v>0.26000040000000002</v>
      </c>
      <c r="BT45" s="19">
        <f>380.0009/1000</f>
        <v>0.38000089999999997</v>
      </c>
      <c r="BU45" s="18">
        <v>0</v>
      </c>
      <c r="BV45" s="18">
        <f>SUM(BQ45:BU45)</f>
        <v>11.105072000000002</v>
      </c>
      <c r="BW45" s="15">
        <f t="shared" si="1"/>
        <v>11.105072000000002</v>
      </c>
      <c r="BY45" s="18" t="s">
        <v>5134</v>
      </c>
      <c r="BZ45" s="18" t="s">
        <v>5270</v>
      </c>
      <c r="CD45" s="18" t="s">
        <v>5127</v>
      </c>
      <c r="CE45" s="18" t="s">
        <v>111</v>
      </c>
      <c r="CF45" s="18" t="s">
        <v>5282</v>
      </c>
      <c r="CG45" s="18" t="s">
        <v>5427</v>
      </c>
      <c r="CH45" s="18" t="s">
        <v>5194</v>
      </c>
      <c r="CI45" s="18" t="s">
        <v>5138</v>
      </c>
      <c r="CJ45" s="18" t="s">
        <v>5196</v>
      </c>
      <c r="CK45" s="18" t="s">
        <v>5140</v>
      </c>
      <c r="CL45" s="18">
        <v>1</v>
      </c>
      <c r="CM45" s="18">
        <v>1</v>
      </c>
      <c r="CN45" s="18">
        <v>0</v>
      </c>
      <c r="CO45" s="18">
        <v>1</v>
      </c>
      <c r="CP45" s="18">
        <v>2</v>
      </c>
      <c r="CQ45" s="18">
        <v>1</v>
      </c>
      <c r="CR45" s="18">
        <v>0</v>
      </c>
      <c r="CS45" s="18" t="s">
        <v>5141</v>
      </c>
      <c r="CT45" s="18">
        <v>1</v>
      </c>
      <c r="CU45" s="18">
        <v>1</v>
      </c>
      <c r="CV45" s="18">
        <v>1</v>
      </c>
      <c r="CX45" s="18">
        <v>0</v>
      </c>
      <c r="CY45" s="18">
        <v>1</v>
      </c>
      <c r="CZ45" s="18">
        <v>1</v>
      </c>
      <c r="DA45" s="18">
        <v>1</v>
      </c>
      <c r="DB45" s="18">
        <v>1</v>
      </c>
      <c r="DC45" s="18">
        <v>0</v>
      </c>
      <c r="DD45" s="18">
        <v>1</v>
      </c>
      <c r="DE45" s="18">
        <v>1</v>
      </c>
      <c r="DF45" s="18">
        <v>1</v>
      </c>
      <c r="DG45" s="18">
        <v>1</v>
      </c>
      <c r="DH45" s="18">
        <v>1</v>
      </c>
      <c r="DI45" s="18">
        <v>1</v>
      </c>
      <c r="DK45" s="18">
        <v>0</v>
      </c>
      <c r="DL45" s="18">
        <v>1</v>
      </c>
      <c r="DM45" s="18" t="s">
        <v>5127</v>
      </c>
      <c r="DN45" s="18" t="s">
        <v>5258</v>
      </c>
      <c r="DO45" s="18" t="s">
        <v>5434</v>
      </c>
      <c r="DP45" s="18" t="s">
        <v>106</v>
      </c>
      <c r="DQ45" s="18" t="s">
        <v>5168</v>
      </c>
      <c r="DS45" s="18">
        <v>0</v>
      </c>
      <c r="DT45" s="18">
        <v>1</v>
      </c>
      <c r="DU45" s="18" t="s">
        <v>5141</v>
      </c>
      <c r="DV45" s="18" t="s">
        <v>5403</v>
      </c>
      <c r="DX45" s="18" t="s">
        <v>5201</v>
      </c>
      <c r="DY45" s="18" t="s">
        <v>106</v>
      </c>
      <c r="DZ45" s="18" t="s">
        <v>113</v>
      </c>
      <c r="EA45" s="18" t="s">
        <v>5302</v>
      </c>
      <c r="EB45" s="18">
        <v>218130</v>
      </c>
      <c r="EC45" s="18" t="s">
        <v>106</v>
      </c>
      <c r="ED45" s="18" t="s">
        <v>5176</v>
      </c>
      <c r="EE45" s="18" t="s">
        <v>106</v>
      </c>
      <c r="EF45" s="18" t="s">
        <v>106</v>
      </c>
      <c r="EG45" s="18" t="s">
        <v>5148</v>
      </c>
      <c r="EH45" s="18" t="s">
        <v>5203</v>
      </c>
      <c r="EI45" s="18" t="s">
        <v>5204</v>
      </c>
      <c r="EJ45" s="18" t="s">
        <v>5245</v>
      </c>
      <c r="EK45" s="18" t="s">
        <v>113</v>
      </c>
      <c r="EL45" s="18" t="s">
        <v>5435</v>
      </c>
      <c r="EM45" s="18" t="s">
        <v>5227</v>
      </c>
      <c r="EN45" s="18" t="s">
        <v>113</v>
      </c>
      <c r="EO45" s="18" t="s">
        <v>113</v>
      </c>
      <c r="EP45" s="18" t="s">
        <v>113</v>
      </c>
      <c r="EQ45" s="18" t="s">
        <v>113</v>
      </c>
      <c r="ER45" s="18" t="s">
        <v>5227</v>
      </c>
      <c r="ES45" s="18" t="s">
        <v>5288</v>
      </c>
      <c r="ET45" s="18" t="s">
        <v>5154</v>
      </c>
      <c r="EU45" s="18" t="s">
        <v>5155</v>
      </c>
      <c r="EV45" s="18" t="s">
        <v>5436</v>
      </c>
      <c r="EW45" s="18" t="s">
        <v>5437</v>
      </c>
      <c r="EX45" s="18" t="s">
        <v>5158</v>
      </c>
      <c r="EY45" s="18" t="s">
        <v>5438</v>
      </c>
      <c r="EZ45" s="18" t="s">
        <v>5160</v>
      </c>
      <c r="FA45" s="18" t="s">
        <v>144</v>
      </c>
    </row>
    <row r="46" spans="1:158" ht="10.5" customHeight="1" x14ac:dyDescent="0.2">
      <c r="A46" s="16">
        <v>41</v>
      </c>
      <c r="B46" s="16" t="s">
        <v>3253</v>
      </c>
      <c r="C46" s="16" t="s">
        <v>3254</v>
      </c>
      <c r="D46" s="16">
        <v>13804</v>
      </c>
      <c r="E46" s="16" t="s">
        <v>6656</v>
      </c>
      <c r="H46" s="15" t="s">
        <v>6661</v>
      </c>
      <c r="AT46" s="17">
        <f>(365*D46*0.7)/1000</f>
        <v>3526.922</v>
      </c>
      <c r="AU46" s="17">
        <f t="shared" si="0"/>
        <v>0</v>
      </c>
      <c r="BW46" s="15">
        <f t="shared" si="1"/>
        <v>0</v>
      </c>
    </row>
    <row r="47" spans="1:158" ht="10.5" customHeight="1" x14ac:dyDescent="0.2">
      <c r="A47" s="16">
        <v>41</v>
      </c>
      <c r="B47" s="16" t="s">
        <v>825</v>
      </c>
      <c r="C47" s="16" t="s">
        <v>824</v>
      </c>
      <c r="D47" s="16">
        <v>4061</v>
      </c>
      <c r="E47" s="16" t="s">
        <v>6656</v>
      </c>
      <c r="F47" s="18" t="s">
        <v>824</v>
      </c>
      <c r="G47" s="18" t="s">
        <v>113</v>
      </c>
      <c r="H47" s="15" t="s">
        <v>111</v>
      </c>
      <c r="AT47" s="17">
        <f>(365*D47*0.7)/1000</f>
        <v>1037.5854999999999</v>
      </c>
      <c r="AU47" s="17">
        <f t="shared" si="0"/>
        <v>0</v>
      </c>
      <c r="BW47" s="15">
        <f t="shared" si="1"/>
        <v>0</v>
      </c>
    </row>
    <row r="48" spans="1:158" ht="10.5" customHeight="1" x14ac:dyDescent="0.2">
      <c r="A48" s="16">
        <v>41</v>
      </c>
      <c r="B48" s="16" t="s">
        <v>839</v>
      </c>
      <c r="C48" s="16" t="s">
        <v>838</v>
      </c>
      <c r="D48" s="16">
        <v>6677</v>
      </c>
      <c r="E48" s="16" t="s">
        <v>6656</v>
      </c>
      <c r="F48" s="18" t="s">
        <v>838</v>
      </c>
      <c r="G48" s="18" t="s">
        <v>113</v>
      </c>
      <c r="H48" s="15" t="s">
        <v>111</v>
      </c>
      <c r="AT48" s="17">
        <f>(365*D48*0.7)/1000</f>
        <v>1705.9735000000001</v>
      </c>
      <c r="AU48" s="17">
        <f t="shared" si="0"/>
        <v>0</v>
      </c>
      <c r="BW48" s="15">
        <f t="shared" si="1"/>
        <v>0</v>
      </c>
    </row>
    <row r="49" spans="1:158" ht="10.5" customHeight="1" x14ac:dyDescent="0.2">
      <c r="A49" s="16">
        <v>41</v>
      </c>
      <c r="B49" s="16" t="s">
        <v>789</v>
      </c>
      <c r="C49" s="16" t="s">
        <v>790</v>
      </c>
      <c r="D49" s="16">
        <v>3234</v>
      </c>
      <c r="E49" s="16" t="s">
        <v>6656</v>
      </c>
      <c r="H49" s="15" t="s">
        <v>6661</v>
      </c>
      <c r="AT49" s="17">
        <f>(365*D49*0.7)/1000</f>
        <v>826.28700000000003</v>
      </c>
      <c r="AU49" s="17">
        <f t="shared" si="0"/>
        <v>0</v>
      </c>
      <c r="BW49" s="15">
        <f t="shared" si="1"/>
        <v>0</v>
      </c>
    </row>
    <row r="50" spans="1:158" ht="10.5" customHeight="1" x14ac:dyDescent="0.2">
      <c r="A50" s="16">
        <v>41</v>
      </c>
      <c r="B50" s="16" t="s">
        <v>855</v>
      </c>
      <c r="C50" s="16" t="s">
        <v>854</v>
      </c>
      <c r="D50" s="16">
        <v>7824</v>
      </c>
      <c r="E50" s="16" t="s">
        <v>6656</v>
      </c>
      <c r="F50" s="18" t="s">
        <v>854</v>
      </c>
      <c r="G50" s="18" t="s">
        <v>106</v>
      </c>
      <c r="H50" s="15" t="s">
        <v>5127</v>
      </c>
      <c r="I50" s="18">
        <v>19</v>
      </c>
      <c r="J50" s="18">
        <v>5</v>
      </c>
      <c r="K50" s="18">
        <v>13</v>
      </c>
      <c r="L50" s="18">
        <v>1</v>
      </c>
      <c r="M50" s="18" t="s">
        <v>5183</v>
      </c>
      <c r="N50" s="18" t="s">
        <v>5439</v>
      </c>
      <c r="O50" s="18">
        <v>47232</v>
      </c>
      <c r="T50" s="18" t="s">
        <v>111</v>
      </c>
      <c r="U50" s="18" t="s">
        <v>5250</v>
      </c>
      <c r="V50" s="18" t="s">
        <v>106</v>
      </c>
      <c r="W50" s="18" t="s">
        <v>5211</v>
      </c>
      <c r="Y50" s="18" t="s">
        <v>5440</v>
      </c>
      <c r="Z50" s="18" t="s">
        <v>106</v>
      </c>
      <c r="AA50" s="18" t="s">
        <v>5163</v>
      </c>
      <c r="AB50" s="18" t="s">
        <v>179</v>
      </c>
      <c r="AC50" s="18" t="s">
        <v>5127</v>
      </c>
      <c r="AD50" s="18" t="s">
        <v>5127</v>
      </c>
      <c r="AE50" s="18" t="s">
        <v>5127</v>
      </c>
      <c r="AF50" s="18" t="s">
        <v>5127</v>
      </c>
      <c r="AG50" s="18" t="s">
        <v>5127</v>
      </c>
      <c r="AH50" s="18" t="s">
        <v>111</v>
      </c>
      <c r="AI50" s="18">
        <v>2</v>
      </c>
      <c r="AK50" s="18" t="s">
        <v>5128</v>
      </c>
      <c r="AN50" s="18" t="s">
        <v>220</v>
      </c>
      <c r="AO50" s="18" t="s">
        <v>5186</v>
      </c>
      <c r="AP50" s="18" t="s">
        <v>5441</v>
      </c>
      <c r="AQ50" s="18" t="s">
        <v>5442</v>
      </c>
      <c r="AR50" s="18" t="s">
        <v>5132</v>
      </c>
      <c r="AT50" s="17">
        <f>(365*D50*0.7)/1000</f>
        <v>1999.0319999999997</v>
      </c>
      <c r="AU50" s="17">
        <f t="shared" si="0"/>
        <v>109.685</v>
      </c>
      <c r="AV50" s="18">
        <f>109685/1000</f>
        <v>109.685</v>
      </c>
      <c r="AW50" s="18">
        <v>0</v>
      </c>
      <c r="AY50" s="18" t="s">
        <v>164</v>
      </c>
      <c r="BG50" s="18" t="s">
        <v>5426</v>
      </c>
      <c r="BH50" s="18">
        <v>0</v>
      </c>
      <c r="BJ50" s="18">
        <v>0</v>
      </c>
      <c r="BQ50" s="18">
        <v>0</v>
      </c>
      <c r="BR50" s="18">
        <v>0</v>
      </c>
      <c r="BS50" s="18">
        <v>0</v>
      </c>
      <c r="BT50" s="18">
        <v>0</v>
      </c>
      <c r="BU50" s="18">
        <v>0</v>
      </c>
      <c r="BV50" s="18">
        <v>0</v>
      </c>
      <c r="BW50" s="15">
        <f t="shared" si="1"/>
        <v>0</v>
      </c>
      <c r="BY50" s="18" t="s">
        <v>5134</v>
      </c>
      <c r="BZ50" s="18" t="s">
        <v>193</v>
      </c>
      <c r="CD50" s="18" t="s">
        <v>5127</v>
      </c>
      <c r="CE50" s="18" t="s">
        <v>111</v>
      </c>
      <c r="CF50" s="18" t="s">
        <v>5282</v>
      </c>
      <c r="CG50" s="18" t="s">
        <v>5443</v>
      </c>
      <c r="CH50" s="18" t="s">
        <v>5241</v>
      </c>
      <c r="CI50" s="18" t="s">
        <v>5138</v>
      </c>
      <c r="CJ50" s="18" t="s">
        <v>5139</v>
      </c>
      <c r="CK50" s="18" t="s">
        <v>5197</v>
      </c>
      <c r="CL50" s="18">
        <v>2</v>
      </c>
      <c r="CM50" s="18">
        <v>1</v>
      </c>
      <c r="CN50" s="18">
        <v>0</v>
      </c>
      <c r="CO50" s="18">
        <v>4</v>
      </c>
      <c r="CP50" s="18">
        <v>3</v>
      </c>
      <c r="CQ50" s="18">
        <v>0</v>
      </c>
      <c r="CR50" s="18">
        <v>0</v>
      </c>
      <c r="CS50" s="18" t="s">
        <v>5141</v>
      </c>
      <c r="CT50" s="18">
        <v>1</v>
      </c>
      <c r="CU50" s="18">
        <v>0</v>
      </c>
      <c r="CV50" s="18">
        <v>1</v>
      </c>
      <c r="CX50" s="18">
        <v>1</v>
      </c>
      <c r="CY50" s="18">
        <v>0</v>
      </c>
      <c r="CZ50" s="18">
        <v>0</v>
      </c>
      <c r="DA50" s="18">
        <v>1</v>
      </c>
      <c r="DB50" s="18">
        <v>2</v>
      </c>
      <c r="DC50" s="18">
        <v>0</v>
      </c>
      <c r="DD50" s="18">
        <v>1</v>
      </c>
      <c r="DE50" s="18">
        <v>0</v>
      </c>
      <c r="DF50" s="18" t="s">
        <v>5141</v>
      </c>
      <c r="DG50" s="18">
        <v>1</v>
      </c>
      <c r="DH50" s="18" t="s">
        <v>5141</v>
      </c>
      <c r="DI50" s="18">
        <v>3</v>
      </c>
      <c r="DK50" s="18">
        <v>0</v>
      </c>
      <c r="DL50" s="18">
        <v>1</v>
      </c>
      <c r="DM50" s="18" t="s">
        <v>5127</v>
      </c>
      <c r="DN50" s="18" t="s">
        <v>5258</v>
      </c>
      <c r="DO50" s="18" t="s">
        <v>5143</v>
      </c>
      <c r="DP50" s="18" t="s">
        <v>113</v>
      </c>
      <c r="DQ50" s="18" t="s">
        <v>5132</v>
      </c>
      <c r="DS50" s="18">
        <v>0</v>
      </c>
      <c r="DT50" s="18">
        <v>0</v>
      </c>
      <c r="DU50" s="18">
        <v>2</v>
      </c>
      <c r="DV50" s="18" t="s">
        <v>5444</v>
      </c>
      <c r="DX50" s="18" t="s">
        <v>5145</v>
      </c>
      <c r="DY50" s="18" t="s">
        <v>106</v>
      </c>
      <c r="DZ50" s="18" t="s">
        <v>113</v>
      </c>
      <c r="EA50" s="18" t="s">
        <v>5175</v>
      </c>
      <c r="EB50" s="18">
        <v>264</v>
      </c>
      <c r="EC50" s="18" t="s">
        <v>113</v>
      </c>
      <c r="ED50" s="18" t="s">
        <v>5176</v>
      </c>
      <c r="EE50" s="18" t="s">
        <v>113</v>
      </c>
      <c r="EF50" s="18" t="s">
        <v>113</v>
      </c>
      <c r="EG50" s="18" t="s">
        <v>5148</v>
      </c>
      <c r="EH50" s="18" t="s">
        <v>5149</v>
      </c>
      <c r="EI50" s="18" t="s">
        <v>5204</v>
      </c>
      <c r="EJ50" s="18" t="s">
        <v>5445</v>
      </c>
      <c r="EK50" s="18" t="s">
        <v>113</v>
      </c>
      <c r="EL50" s="18" t="s">
        <v>5446</v>
      </c>
      <c r="EM50" s="18" t="s">
        <v>5155</v>
      </c>
      <c r="EN50" s="18" t="s">
        <v>113</v>
      </c>
      <c r="EO50" s="18" t="s">
        <v>113</v>
      </c>
      <c r="EP50" s="18" t="s">
        <v>113</v>
      </c>
      <c r="EQ50" s="18" t="s">
        <v>113</v>
      </c>
      <c r="ER50" s="18" t="s">
        <v>5155</v>
      </c>
      <c r="ES50" s="18" t="s">
        <v>5447</v>
      </c>
      <c r="ET50" s="18" t="s">
        <v>5154</v>
      </c>
      <c r="EU50" s="18" t="s">
        <v>5318</v>
      </c>
      <c r="EV50" s="18" t="s">
        <v>5448</v>
      </c>
      <c r="EW50" s="18" t="s">
        <v>5449</v>
      </c>
      <c r="EX50" s="18" t="s">
        <v>5158</v>
      </c>
      <c r="EY50" s="18" t="s">
        <v>5229</v>
      </c>
      <c r="EZ50" s="18" t="s">
        <v>5160</v>
      </c>
      <c r="FA50" s="18" t="s">
        <v>144</v>
      </c>
      <c r="FB50" s="18" t="s">
        <v>5161</v>
      </c>
    </row>
    <row r="51" spans="1:158" ht="10.5" customHeight="1" x14ac:dyDescent="0.2">
      <c r="A51" s="16">
        <v>41</v>
      </c>
      <c r="B51" s="16" t="s">
        <v>1506</v>
      </c>
      <c r="C51" s="16" t="s">
        <v>1507</v>
      </c>
      <c r="D51" s="16">
        <v>4802</v>
      </c>
      <c r="E51" s="16" t="s">
        <v>6656</v>
      </c>
      <c r="H51" s="15" t="s">
        <v>6661</v>
      </c>
      <c r="AT51" s="17">
        <f>(365*D51*0.7)/1000</f>
        <v>1226.9110000000001</v>
      </c>
      <c r="AU51" s="17">
        <f t="shared" si="0"/>
        <v>0</v>
      </c>
      <c r="BW51" s="15">
        <f t="shared" si="1"/>
        <v>0</v>
      </c>
    </row>
    <row r="52" spans="1:158" ht="10.5" customHeight="1" x14ac:dyDescent="0.2">
      <c r="A52" s="16">
        <v>41</v>
      </c>
      <c r="B52" s="16" t="s">
        <v>1011</v>
      </c>
      <c r="C52" s="16" t="s">
        <v>1012</v>
      </c>
      <c r="D52" s="16">
        <v>3828</v>
      </c>
      <c r="E52" s="16" t="s">
        <v>6656</v>
      </c>
      <c r="F52" s="18" t="s">
        <v>1012</v>
      </c>
      <c r="G52" s="18" t="s">
        <v>106</v>
      </c>
      <c r="H52" s="15" t="s">
        <v>5127</v>
      </c>
      <c r="I52" s="18">
        <v>12</v>
      </c>
      <c r="J52" s="18">
        <v>4</v>
      </c>
      <c r="K52" s="18">
        <v>8</v>
      </c>
      <c r="L52" s="18">
        <v>0</v>
      </c>
      <c r="M52" s="18" t="s">
        <v>5183</v>
      </c>
      <c r="N52" s="18" t="s">
        <v>709</v>
      </c>
      <c r="T52" s="18" t="s">
        <v>111</v>
      </c>
      <c r="U52" s="18" t="s">
        <v>5123</v>
      </c>
      <c r="V52" s="18" t="s">
        <v>106</v>
      </c>
      <c r="W52" s="18" t="s">
        <v>5211</v>
      </c>
      <c r="Y52" s="18" t="s">
        <v>5162</v>
      </c>
      <c r="Z52" s="18" t="s">
        <v>106</v>
      </c>
      <c r="AA52" s="18" t="s">
        <v>5163</v>
      </c>
      <c r="AB52" s="18" t="s">
        <v>179</v>
      </c>
      <c r="AC52" s="18" t="s">
        <v>5127</v>
      </c>
      <c r="AD52" s="18" t="s">
        <v>5127</v>
      </c>
      <c r="AE52" s="18" t="s">
        <v>5127</v>
      </c>
      <c r="AF52" s="18" t="s">
        <v>5127</v>
      </c>
      <c r="AG52" s="18" t="s">
        <v>5127</v>
      </c>
      <c r="AH52" s="18" t="s">
        <v>5127</v>
      </c>
      <c r="AI52" s="18">
        <v>1</v>
      </c>
      <c r="AK52" s="18" t="s">
        <v>5164</v>
      </c>
      <c r="AN52" s="18">
        <v>0</v>
      </c>
      <c r="AO52" s="18" t="s">
        <v>5186</v>
      </c>
      <c r="AP52" s="18" t="s">
        <v>5450</v>
      </c>
      <c r="AQ52" s="18" t="s">
        <v>5252</v>
      </c>
      <c r="AR52" s="18" t="s">
        <v>5168</v>
      </c>
      <c r="AT52" s="17">
        <f>(365*D52*0.7)/1000</f>
        <v>978.05399999999986</v>
      </c>
      <c r="AU52" s="17">
        <f t="shared" si="0"/>
        <v>2</v>
      </c>
      <c r="AV52" s="18">
        <v>2</v>
      </c>
      <c r="AW52" s="18">
        <v>0</v>
      </c>
      <c r="AY52" s="18" t="s">
        <v>5451</v>
      </c>
      <c r="AZ52" s="18">
        <v>0</v>
      </c>
      <c r="BA52" s="18">
        <v>0</v>
      </c>
      <c r="BG52" s="18" t="s">
        <v>5133</v>
      </c>
      <c r="BH52" s="18">
        <f>25/1000</f>
        <v>2.5000000000000001E-2</v>
      </c>
      <c r="BQ52" s="18">
        <v>60</v>
      </c>
      <c r="BR52" s="18">
        <v>36</v>
      </c>
      <c r="BS52" s="18">
        <v>2</v>
      </c>
      <c r="BT52" s="18">
        <v>31</v>
      </c>
      <c r="BU52" s="18">
        <v>15</v>
      </c>
      <c r="BV52" s="18">
        <v>144</v>
      </c>
      <c r="BW52" s="15">
        <f t="shared" si="1"/>
        <v>144</v>
      </c>
      <c r="BY52" s="18" t="s">
        <v>5134</v>
      </c>
      <c r="BZ52" s="18" t="s">
        <v>5312</v>
      </c>
      <c r="CD52" s="18" t="s">
        <v>5127</v>
      </c>
      <c r="CE52" s="18" t="s">
        <v>5127</v>
      </c>
      <c r="CF52" s="18" t="s">
        <v>5135</v>
      </c>
      <c r="CG52" s="18" t="s">
        <v>5452</v>
      </c>
      <c r="CH52" s="18" t="s">
        <v>5241</v>
      </c>
      <c r="CI52" s="18" t="s">
        <v>111</v>
      </c>
      <c r="CJ52" s="18" t="s">
        <v>5139</v>
      </c>
      <c r="CK52" s="18" t="s">
        <v>5197</v>
      </c>
      <c r="CL52" s="18">
        <v>1</v>
      </c>
      <c r="CM52" s="18">
        <v>0</v>
      </c>
      <c r="CN52" s="18">
        <v>0</v>
      </c>
      <c r="CO52" s="18">
        <v>1</v>
      </c>
      <c r="CP52" s="18">
        <v>0</v>
      </c>
      <c r="CQ52" s="18">
        <v>1</v>
      </c>
      <c r="CR52" s="18">
        <v>0</v>
      </c>
      <c r="CS52" s="18" t="s">
        <v>5141</v>
      </c>
      <c r="CT52" s="18">
        <v>1</v>
      </c>
      <c r="CU52" s="18">
        <v>0</v>
      </c>
      <c r="CV52" s="18" t="s">
        <v>5141</v>
      </c>
      <c r="CX52" s="18">
        <v>0</v>
      </c>
      <c r="CY52" s="18">
        <v>1</v>
      </c>
      <c r="CZ52" s="18">
        <v>1</v>
      </c>
      <c r="DA52" s="18">
        <v>1</v>
      </c>
      <c r="DB52" s="18">
        <v>0</v>
      </c>
      <c r="DC52" s="18">
        <v>1</v>
      </c>
      <c r="DD52" s="18">
        <v>0</v>
      </c>
      <c r="DE52" s="18">
        <v>1</v>
      </c>
      <c r="DF52" s="18" t="s">
        <v>5141</v>
      </c>
      <c r="DG52" s="18">
        <v>0</v>
      </c>
      <c r="DH52" s="18">
        <v>1</v>
      </c>
      <c r="DI52" s="18" t="s">
        <v>5141</v>
      </c>
      <c r="DK52" s="18">
        <v>0</v>
      </c>
      <c r="DL52" s="18">
        <v>1</v>
      </c>
      <c r="DM52" s="18" t="s">
        <v>5127</v>
      </c>
      <c r="DN52" s="18" t="s">
        <v>5172</v>
      </c>
      <c r="DO52" s="18" t="s">
        <v>5259</v>
      </c>
      <c r="DP52" s="18" t="s">
        <v>106</v>
      </c>
      <c r="DQ52" s="18" t="s">
        <v>179</v>
      </c>
      <c r="DS52" s="18">
        <v>0</v>
      </c>
      <c r="DT52" s="18">
        <v>1</v>
      </c>
      <c r="DU52" s="18">
        <v>1</v>
      </c>
      <c r="DV52" s="18" t="s">
        <v>5377</v>
      </c>
      <c r="DX52" s="18" t="s">
        <v>5222</v>
      </c>
      <c r="DY52" s="18" t="s">
        <v>106</v>
      </c>
      <c r="DZ52" s="18" t="s">
        <v>113</v>
      </c>
      <c r="EA52" s="18" t="s">
        <v>5453</v>
      </c>
      <c r="EB52" s="18">
        <v>20</v>
      </c>
      <c r="EC52" s="18" t="s">
        <v>106</v>
      </c>
      <c r="ED52" s="18" t="s">
        <v>5176</v>
      </c>
      <c r="EE52" s="18" t="s">
        <v>113</v>
      </c>
      <c r="EF52" s="18" t="s">
        <v>113</v>
      </c>
      <c r="EG52" s="18" t="s">
        <v>5404</v>
      </c>
      <c r="EH52" s="18" t="s">
        <v>5203</v>
      </c>
      <c r="EI52" s="18" t="s">
        <v>5204</v>
      </c>
      <c r="EJ52" s="18" t="s">
        <v>5422</v>
      </c>
      <c r="EK52" s="18" t="s">
        <v>113</v>
      </c>
      <c r="EL52" s="18" t="s">
        <v>709</v>
      </c>
      <c r="EM52" s="18" t="s">
        <v>5227</v>
      </c>
      <c r="EN52" s="18" t="s">
        <v>113</v>
      </c>
      <c r="EO52" s="18" t="s">
        <v>113</v>
      </c>
      <c r="EP52" s="18" t="s">
        <v>113</v>
      </c>
      <c r="EQ52" s="18" t="s">
        <v>113</v>
      </c>
      <c r="ER52" s="18" t="s">
        <v>5289</v>
      </c>
      <c r="ES52" s="18" t="s">
        <v>5454</v>
      </c>
      <c r="ET52" s="18" t="s">
        <v>5154</v>
      </c>
      <c r="EU52" s="18" t="s">
        <v>5318</v>
      </c>
      <c r="EV52" s="18" t="s">
        <v>5276</v>
      </c>
      <c r="EW52" s="18" t="s">
        <v>5455</v>
      </c>
      <c r="EX52" s="18" t="s">
        <v>5158</v>
      </c>
      <c r="EY52" s="18" t="s">
        <v>5292</v>
      </c>
      <c r="EZ52" s="18" t="s">
        <v>5160</v>
      </c>
    </row>
    <row r="53" spans="1:158" ht="10.5" customHeight="1" x14ac:dyDescent="0.2">
      <c r="A53" s="16">
        <v>41</v>
      </c>
      <c r="B53" s="16" t="s">
        <v>872</v>
      </c>
      <c r="C53" s="16" t="s">
        <v>871</v>
      </c>
      <c r="D53" s="16">
        <v>2655</v>
      </c>
      <c r="E53" s="16" t="s">
        <v>6656</v>
      </c>
      <c r="F53" s="18" t="s">
        <v>871</v>
      </c>
      <c r="G53" s="18" t="s">
        <v>106</v>
      </c>
      <c r="H53" s="15" t="s">
        <v>5127</v>
      </c>
      <c r="I53" s="18">
        <v>7</v>
      </c>
      <c r="J53" s="18">
        <v>1</v>
      </c>
      <c r="K53" s="18">
        <v>6</v>
      </c>
      <c r="L53" s="18">
        <v>0</v>
      </c>
      <c r="M53" s="18" t="s">
        <v>5183</v>
      </c>
      <c r="N53" s="18" t="s">
        <v>1683</v>
      </c>
      <c r="T53" s="18" t="s">
        <v>111</v>
      </c>
      <c r="U53" s="18" t="s">
        <v>5250</v>
      </c>
      <c r="V53" s="18" t="s">
        <v>106</v>
      </c>
      <c r="W53" s="18" t="s">
        <v>5124</v>
      </c>
      <c r="Y53" s="18" t="s">
        <v>5232</v>
      </c>
      <c r="Z53" s="18" t="s">
        <v>106</v>
      </c>
      <c r="AA53" s="18" t="s">
        <v>5163</v>
      </c>
      <c r="AB53" s="18" t="s">
        <v>179</v>
      </c>
      <c r="AC53" s="18" t="s">
        <v>5127</v>
      </c>
      <c r="AD53" s="18" t="s">
        <v>5127</v>
      </c>
      <c r="AE53" s="18" t="s">
        <v>5127</v>
      </c>
      <c r="AF53" s="18" t="s">
        <v>5127</v>
      </c>
      <c r="AG53" s="18" t="s">
        <v>111</v>
      </c>
      <c r="AH53" s="18" t="s">
        <v>111</v>
      </c>
      <c r="AI53" s="18">
        <v>1</v>
      </c>
      <c r="AK53" s="18" t="s">
        <v>5128</v>
      </c>
      <c r="AN53" s="18">
        <v>70</v>
      </c>
      <c r="AO53" s="18" t="s">
        <v>5186</v>
      </c>
      <c r="AP53" s="18" t="s">
        <v>5456</v>
      </c>
      <c r="AQ53" s="18" t="s">
        <v>5252</v>
      </c>
      <c r="AR53" s="18" t="s">
        <v>5132</v>
      </c>
      <c r="AT53" s="17">
        <f>(365*D53*0.7)/1000</f>
        <v>678.35249999999996</v>
      </c>
      <c r="AU53" s="17">
        <f t="shared" si="0"/>
        <v>250</v>
      </c>
      <c r="AV53" s="18">
        <v>250</v>
      </c>
      <c r="AW53" s="18">
        <v>0</v>
      </c>
      <c r="AY53" s="18" t="s">
        <v>5457</v>
      </c>
      <c r="BB53" s="18">
        <v>300</v>
      </c>
      <c r="BD53" s="18">
        <v>100</v>
      </c>
      <c r="BE53" s="18">
        <v>300</v>
      </c>
      <c r="BG53" s="18" t="s">
        <v>5350</v>
      </c>
      <c r="BH53" s="18">
        <f>5/1000</f>
        <v>5.0000000000000001E-3</v>
      </c>
      <c r="BQ53" s="18">
        <v>5</v>
      </c>
      <c r="BR53" s="18">
        <v>10</v>
      </c>
      <c r="BS53" s="18">
        <v>30</v>
      </c>
      <c r="BT53" s="18">
        <v>10</v>
      </c>
      <c r="BU53" s="18">
        <v>5</v>
      </c>
      <c r="BV53" s="18">
        <v>60</v>
      </c>
      <c r="BW53" s="15">
        <f t="shared" si="1"/>
        <v>60</v>
      </c>
      <c r="BY53" s="18" t="s">
        <v>5134</v>
      </c>
      <c r="BZ53" s="18" t="s">
        <v>193</v>
      </c>
      <c r="CD53" s="18" t="s">
        <v>5127</v>
      </c>
      <c r="CE53" s="18" t="s">
        <v>111</v>
      </c>
      <c r="CF53" s="18" t="s">
        <v>5135</v>
      </c>
      <c r="CG53" s="18" t="s">
        <v>5458</v>
      </c>
      <c r="CH53" s="18" t="s">
        <v>111</v>
      </c>
      <c r="CI53" s="18" t="s">
        <v>5138</v>
      </c>
      <c r="CJ53" s="18" t="s">
        <v>5139</v>
      </c>
      <c r="CK53" s="18" t="s">
        <v>5171</v>
      </c>
      <c r="CL53" s="18">
        <v>1</v>
      </c>
      <c r="CM53" s="18">
        <v>0</v>
      </c>
      <c r="CN53" s="18">
        <v>0</v>
      </c>
      <c r="CO53" s="18">
        <v>1</v>
      </c>
      <c r="CP53" s="18">
        <v>0</v>
      </c>
      <c r="CQ53" s="18">
        <v>0</v>
      </c>
      <c r="CR53" s="18">
        <v>0</v>
      </c>
      <c r="CS53" s="18">
        <v>1</v>
      </c>
      <c r="CT53" s="18">
        <v>0</v>
      </c>
      <c r="CU53" s="18">
        <v>0</v>
      </c>
      <c r="CV53" s="18">
        <v>1</v>
      </c>
      <c r="CX53" s="18">
        <v>1</v>
      </c>
      <c r="CY53" s="18">
        <v>1</v>
      </c>
      <c r="CZ53" s="18">
        <v>0</v>
      </c>
      <c r="DA53" s="18">
        <v>1</v>
      </c>
      <c r="DB53" s="18">
        <v>1</v>
      </c>
      <c r="DC53" s="18">
        <v>1</v>
      </c>
      <c r="DD53" s="18">
        <v>1</v>
      </c>
      <c r="DE53" s="18">
        <v>1</v>
      </c>
      <c r="DF53" s="18">
        <v>0</v>
      </c>
      <c r="DG53" s="18">
        <v>1</v>
      </c>
      <c r="DH53" s="18">
        <v>1</v>
      </c>
      <c r="DI53" s="18">
        <v>0</v>
      </c>
      <c r="DK53" s="18">
        <v>0</v>
      </c>
      <c r="DL53" s="18">
        <v>1</v>
      </c>
      <c r="DM53" s="18" t="s">
        <v>5127</v>
      </c>
      <c r="DN53" s="18" t="s">
        <v>5172</v>
      </c>
      <c r="DO53" s="18" t="s">
        <v>5259</v>
      </c>
      <c r="DP53" s="18" t="s">
        <v>106</v>
      </c>
      <c r="DQ53" s="18" t="s">
        <v>5221</v>
      </c>
      <c r="DS53" s="18">
        <v>50</v>
      </c>
      <c r="DT53" s="18">
        <v>0</v>
      </c>
      <c r="DU53" s="18">
        <v>1</v>
      </c>
      <c r="DV53" s="18" t="s">
        <v>5459</v>
      </c>
      <c r="DX53" s="18" t="s">
        <v>5145</v>
      </c>
      <c r="DY53" s="18" t="s">
        <v>106</v>
      </c>
      <c r="DZ53" s="18" t="s">
        <v>113</v>
      </c>
      <c r="EA53" s="18" t="s">
        <v>5146</v>
      </c>
      <c r="EB53" s="18">
        <v>50</v>
      </c>
      <c r="EC53" s="18" t="s">
        <v>106</v>
      </c>
      <c r="ED53" s="18" t="s">
        <v>5147</v>
      </c>
      <c r="EE53" s="18" t="s">
        <v>113</v>
      </c>
      <c r="EF53" s="18" t="s">
        <v>113</v>
      </c>
      <c r="EG53" s="18" t="s">
        <v>5404</v>
      </c>
      <c r="EH53" s="18" t="s">
        <v>5203</v>
      </c>
      <c r="EI53" s="18" t="s">
        <v>5204</v>
      </c>
      <c r="EJ53" s="18" t="s">
        <v>5177</v>
      </c>
      <c r="EK53" s="18" t="s">
        <v>113</v>
      </c>
      <c r="EL53" s="18" t="s">
        <v>5460</v>
      </c>
      <c r="EM53" s="18" t="s">
        <v>5274</v>
      </c>
      <c r="EN53" s="18" t="s">
        <v>113</v>
      </c>
      <c r="EO53" s="18" t="s">
        <v>113</v>
      </c>
      <c r="EP53" s="18" t="s">
        <v>106</v>
      </c>
      <c r="EQ53" s="18" t="s">
        <v>113</v>
      </c>
      <c r="ER53" s="18" t="s">
        <v>5155</v>
      </c>
      <c r="ES53" s="18" t="s">
        <v>5461</v>
      </c>
      <c r="ET53" s="18" t="s">
        <v>5154</v>
      </c>
      <c r="EU53" s="18" t="s">
        <v>5155</v>
      </c>
      <c r="EV53" s="18" t="s">
        <v>179</v>
      </c>
      <c r="EW53" s="18" t="s">
        <v>5406</v>
      </c>
      <c r="EX53" s="18" t="s">
        <v>5158</v>
      </c>
      <c r="EY53" s="18" t="s">
        <v>5229</v>
      </c>
      <c r="EZ53" s="18" t="s">
        <v>5160</v>
      </c>
      <c r="FA53" s="18" t="s">
        <v>144</v>
      </c>
      <c r="FB53" s="18" t="s">
        <v>5161</v>
      </c>
    </row>
    <row r="54" spans="1:158" ht="10.5" customHeight="1" x14ac:dyDescent="0.2">
      <c r="A54" s="16">
        <v>41</v>
      </c>
      <c r="B54" s="16" t="s">
        <v>891</v>
      </c>
      <c r="C54" s="16" t="s">
        <v>890</v>
      </c>
      <c r="D54" s="16">
        <v>19844</v>
      </c>
      <c r="E54" s="16" t="s">
        <v>6658</v>
      </c>
      <c r="F54" s="18" t="s">
        <v>890</v>
      </c>
      <c r="G54" s="18" t="s">
        <v>106</v>
      </c>
      <c r="H54" s="15" t="s">
        <v>5127</v>
      </c>
      <c r="I54" s="18">
        <v>46</v>
      </c>
      <c r="J54" s="18">
        <v>17</v>
      </c>
      <c r="K54" s="18">
        <v>29</v>
      </c>
      <c r="M54" s="18" t="s">
        <v>5183</v>
      </c>
      <c r="N54" s="18" t="s">
        <v>5462</v>
      </c>
      <c r="O54" s="18">
        <v>46914</v>
      </c>
      <c r="T54" s="18" t="s">
        <v>5382</v>
      </c>
      <c r="U54" s="18" t="s">
        <v>5185</v>
      </c>
      <c r="V54" s="18" t="s">
        <v>106</v>
      </c>
      <c r="W54" s="18" t="s">
        <v>5124</v>
      </c>
      <c r="Y54" s="18" t="s">
        <v>5162</v>
      </c>
      <c r="Z54" s="18" t="s">
        <v>106</v>
      </c>
      <c r="AA54" s="18" t="s">
        <v>5163</v>
      </c>
      <c r="AB54" s="18" t="s">
        <v>179</v>
      </c>
      <c r="AC54" s="18" t="s">
        <v>5127</v>
      </c>
      <c r="AD54" s="18" t="s">
        <v>5127</v>
      </c>
      <c r="AE54" s="18" t="s">
        <v>5127</v>
      </c>
      <c r="AF54" s="18" t="s">
        <v>5127</v>
      </c>
      <c r="AG54" s="18" t="s">
        <v>5127</v>
      </c>
      <c r="AH54" s="18" t="s">
        <v>5127</v>
      </c>
      <c r="AI54" s="18">
        <v>1</v>
      </c>
      <c r="AK54" s="18" t="s">
        <v>5164</v>
      </c>
      <c r="AN54" s="18">
        <v>0</v>
      </c>
      <c r="AO54" s="18" t="s">
        <v>5186</v>
      </c>
      <c r="AP54" s="18" t="s">
        <v>5463</v>
      </c>
      <c r="AQ54" s="18" t="s">
        <v>164</v>
      </c>
      <c r="AR54" s="18" t="s">
        <v>5464</v>
      </c>
      <c r="AT54" s="17">
        <f>(365*D54*0.7)/1000</f>
        <v>5070.1419999999998</v>
      </c>
      <c r="AU54" s="17">
        <f t="shared" si="0"/>
        <v>312.92</v>
      </c>
      <c r="AV54" s="18">
        <v>312.92</v>
      </c>
      <c r="AW54" s="18">
        <v>0</v>
      </c>
      <c r="AY54" s="18" t="s">
        <v>164</v>
      </c>
      <c r="BG54" s="18" t="s">
        <v>5133</v>
      </c>
      <c r="BQ54" s="18">
        <v>400.8</v>
      </c>
      <c r="BR54" s="18">
        <v>266.79000000000002</v>
      </c>
      <c r="BS54" s="18">
        <v>128.03</v>
      </c>
      <c r="BT54" s="18">
        <v>81.78</v>
      </c>
      <c r="BU54" s="18">
        <v>0</v>
      </c>
      <c r="BV54" s="18">
        <v>877.4</v>
      </c>
      <c r="BW54" s="15">
        <f t="shared" si="1"/>
        <v>877.4</v>
      </c>
      <c r="BY54" s="18" t="s">
        <v>5134</v>
      </c>
      <c r="BZ54" s="18" t="s">
        <v>5240</v>
      </c>
      <c r="CD54" s="18" t="s">
        <v>5127</v>
      </c>
      <c r="CE54" s="18" t="s">
        <v>5127</v>
      </c>
      <c r="CF54" s="18" t="s">
        <v>5282</v>
      </c>
      <c r="CG54" s="18" t="s">
        <v>5465</v>
      </c>
      <c r="CH54" s="18" t="s">
        <v>5241</v>
      </c>
      <c r="CI54" s="18" t="s">
        <v>5195</v>
      </c>
      <c r="CJ54" s="18" t="s">
        <v>5196</v>
      </c>
      <c r="CK54" s="18" t="s">
        <v>5197</v>
      </c>
      <c r="CL54" s="18">
        <v>4</v>
      </c>
      <c r="CM54" s="18">
        <v>0</v>
      </c>
      <c r="CN54" s="18">
        <v>0</v>
      </c>
      <c r="CO54" s="18">
        <v>2</v>
      </c>
      <c r="CP54" s="18">
        <v>0</v>
      </c>
      <c r="CQ54" s="18">
        <v>1</v>
      </c>
      <c r="CR54" s="18">
        <v>0</v>
      </c>
      <c r="CS54" s="18" t="s">
        <v>5141</v>
      </c>
      <c r="CT54" s="18">
        <v>2</v>
      </c>
      <c r="CU54" s="18">
        <v>0</v>
      </c>
      <c r="CV54" s="18">
        <v>5</v>
      </c>
      <c r="CX54" s="18">
        <v>1</v>
      </c>
      <c r="CY54" s="18">
        <v>2</v>
      </c>
      <c r="CZ54" s="18">
        <v>1</v>
      </c>
      <c r="DA54" s="18">
        <v>0</v>
      </c>
      <c r="DB54" s="18">
        <v>1</v>
      </c>
      <c r="DC54" s="18">
        <v>0</v>
      </c>
      <c r="DD54" s="18">
        <v>1</v>
      </c>
      <c r="DE54" s="18">
        <v>4</v>
      </c>
      <c r="DF54" s="18" t="s">
        <v>5141</v>
      </c>
      <c r="DG54" s="18">
        <v>2</v>
      </c>
      <c r="DH54" s="18">
        <v>1</v>
      </c>
      <c r="DI54" s="18">
        <v>0</v>
      </c>
      <c r="DK54" s="18">
        <v>0</v>
      </c>
      <c r="DL54" s="18">
        <v>1</v>
      </c>
      <c r="DM54" s="18" t="s">
        <v>5127</v>
      </c>
      <c r="DN54" s="18" t="s">
        <v>5258</v>
      </c>
      <c r="DO54" s="18" t="s">
        <v>5300</v>
      </c>
      <c r="DP54" s="18" t="s">
        <v>106</v>
      </c>
      <c r="DS54" s="18">
        <v>0</v>
      </c>
      <c r="DT54" s="18">
        <v>2</v>
      </c>
      <c r="DU54" s="18">
        <v>0</v>
      </c>
      <c r="DV54" s="18" t="s">
        <v>5466</v>
      </c>
      <c r="DX54" s="18" t="s">
        <v>5222</v>
      </c>
      <c r="DY54" s="18" t="s">
        <v>106</v>
      </c>
      <c r="DZ54" s="18" t="s">
        <v>113</v>
      </c>
      <c r="EA54" s="18" t="s">
        <v>5243</v>
      </c>
      <c r="EB54" s="18" t="s">
        <v>5467</v>
      </c>
      <c r="EC54" s="18" t="s">
        <v>106</v>
      </c>
      <c r="ED54" s="18" t="s">
        <v>5176</v>
      </c>
      <c r="EE54" s="18" t="s">
        <v>106</v>
      </c>
      <c r="EG54" s="18" t="s">
        <v>5148</v>
      </c>
      <c r="EH54" s="18" t="s">
        <v>5203</v>
      </c>
      <c r="EI54" s="18" t="s">
        <v>5204</v>
      </c>
      <c r="EJ54" s="18" t="s">
        <v>5468</v>
      </c>
      <c r="EN54" s="18" t="s">
        <v>113</v>
      </c>
      <c r="EO54" s="18" t="s">
        <v>113</v>
      </c>
      <c r="EP54" s="18" t="s">
        <v>113</v>
      </c>
      <c r="EQ54" s="18" t="s">
        <v>113</v>
      </c>
      <c r="ER54" s="18" t="s">
        <v>5206</v>
      </c>
      <c r="ES54" s="18" t="s">
        <v>5153</v>
      </c>
      <c r="ET54" s="18" t="s">
        <v>5154</v>
      </c>
      <c r="EU54" s="18" t="s">
        <v>5318</v>
      </c>
      <c r="EV54" s="18" t="s">
        <v>5469</v>
      </c>
      <c r="EW54" s="18" t="s">
        <v>5470</v>
      </c>
      <c r="EX54" s="18" t="s">
        <v>5158</v>
      </c>
      <c r="EY54" s="18" t="s">
        <v>5292</v>
      </c>
      <c r="EZ54" s="18" t="s">
        <v>5182</v>
      </c>
      <c r="FA54" s="18" t="s">
        <v>144</v>
      </c>
      <c r="FB54" s="18" t="s">
        <v>5161</v>
      </c>
    </row>
    <row r="55" spans="1:158" ht="10.5" customHeight="1" x14ac:dyDescent="0.2">
      <c r="A55" s="16">
        <v>41</v>
      </c>
      <c r="B55" s="16" t="s">
        <v>912</v>
      </c>
      <c r="C55" s="16" t="s">
        <v>911</v>
      </c>
      <c r="D55" s="16">
        <v>4561</v>
      </c>
      <c r="E55" s="16" t="s">
        <v>6656</v>
      </c>
      <c r="F55" s="18" t="s">
        <v>911</v>
      </c>
      <c r="G55" s="18" t="s">
        <v>106</v>
      </c>
      <c r="H55" s="15" t="s">
        <v>5127</v>
      </c>
      <c r="I55" s="18">
        <v>3</v>
      </c>
      <c r="J55" s="18">
        <v>2</v>
      </c>
      <c r="K55" s="18">
        <v>1</v>
      </c>
      <c r="L55" s="18">
        <v>0</v>
      </c>
      <c r="M55" s="18" t="s">
        <v>5183</v>
      </c>
      <c r="N55" s="18" t="s">
        <v>5471</v>
      </c>
      <c r="O55" s="18">
        <v>46825</v>
      </c>
      <c r="T55" s="18" t="s">
        <v>111</v>
      </c>
      <c r="U55" s="18" t="s">
        <v>5123</v>
      </c>
      <c r="V55" s="18" t="s">
        <v>113</v>
      </c>
      <c r="W55" s="18" t="s">
        <v>5211</v>
      </c>
      <c r="Y55" s="18" t="s">
        <v>5232</v>
      </c>
      <c r="Z55" s="18" t="s">
        <v>106</v>
      </c>
      <c r="AA55" s="18" t="s">
        <v>5163</v>
      </c>
      <c r="AB55" s="18" t="s">
        <v>179</v>
      </c>
      <c r="AC55" s="18" t="s">
        <v>111</v>
      </c>
      <c r="AD55" s="18" t="s">
        <v>111</v>
      </c>
      <c r="AE55" s="18" t="s">
        <v>5127</v>
      </c>
      <c r="AF55" s="18" t="s">
        <v>5127</v>
      </c>
      <c r="AG55" s="18" t="s">
        <v>5127</v>
      </c>
      <c r="AH55" s="18" t="s">
        <v>111</v>
      </c>
      <c r="AI55" s="18">
        <v>1</v>
      </c>
      <c r="AK55" s="18" t="s">
        <v>5164</v>
      </c>
      <c r="AN55" s="18">
        <v>60000</v>
      </c>
      <c r="AO55" s="18" t="s">
        <v>5294</v>
      </c>
      <c r="AP55" s="18" t="s">
        <v>5472</v>
      </c>
      <c r="AQ55" s="18" t="s">
        <v>5252</v>
      </c>
      <c r="AR55" s="18" t="s">
        <v>179</v>
      </c>
      <c r="AT55" s="17">
        <f>(365*D55*0.7)/1000</f>
        <v>1165.3354999999999</v>
      </c>
      <c r="AU55" s="17">
        <f t="shared" si="0"/>
        <v>40</v>
      </c>
      <c r="AV55" s="18">
        <f>40000/1000</f>
        <v>40</v>
      </c>
      <c r="AW55" s="18">
        <v>0</v>
      </c>
      <c r="AY55" s="18" t="s">
        <v>5473</v>
      </c>
      <c r="AZ55" s="18">
        <v>0</v>
      </c>
      <c r="BA55" s="18">
        <v>0</v>
      </c>
      <c r="BB55" s="18">
        <v>0</v>
      </c>
      <c r="BD55" s="18">
        <v>100</v>
      </c>
      <c r="BE55" s="18">
        <v>0</v>
      </c>
      <c r="BG55" s="18" t="s">
        <v>164</v>
      </c>
      <c r="BH55" s="18">
        <v>0</v>
      </c>
      <c r="BI55" s="18">
        <v>0</v>
      </c>
      <c r="BJ55" s="18">
        <v>0</v>
      </c>
      <c r="BQ55" s="18">
        <v>30</v>
      </c>
      <c r="BR55" s="18">
        <v>20</v>
      </c>
      <c r="BS55" s="18">
        <v>0.1</v>
      </c>
      <c r="BT55" s="18">
        <v>40</v>
      </c>
      <c r="BU55" s="18">
        <v>15</v>
      </c>
      <c r="BV55" s="18">
        <f>SUM(BQ55:BU55)</f>
        <v>105.1</v>
      </c>
      <c r="BW55" s="15">
        <f t="shared" si="1"/>
        <v>105.1</v>
      </c>
      <c r="BY55" s="18" t="s">
        <v>5134</v>
      </c>
      <c r="BZ55" s="18" t="s">
        <v>193</v>
      </c>
      <c r="CD55" s="18" t="s">
        <v>5127</v>
      </c>
      <c r="CE55" s="18" t="s">
        <v>111</v>
      </c>
      <c r="CF55" s="18" t="s">
        <v>5135</v>
      </c>
      <c r="CG55" s="18" t="s">
        <v>5474</v>
      </c>
      <c r="CH55" s="18" t="s">
        <v>111</v>
      </c>
      <c r="CI55" s="18" t="s">
        <v>111</v>
      </c>
      <c r="CJ55" s="18" t="s">
        <v>5139</v>
      </c>
      <c r="CK55" s="18" t="s">
        <v>5256</v>
      </c>
      <c r="CL55" s="18">
        <v>1</v>
      </c>
      <c r="CM55" s="18">
        <v>1</v>
      </c>
      <c r="CN55" s="18">
        <v>0</v>
      </c>
      <c r="CO55" s="18">
        <v>1</v>
      </c>
      <c r="CP55" s="18">
        <v>1</v>
      </c>
      <c r="CQ55" s="18">
        <v>1</v>
      </c>
      <c r="CR55" s="18">
        <v>0</v>
      </c>
      <c r="CS55" s="18" t="s">
        <v>5141</v>
      </c>
      <c r="CT55" s="18">
        <v>1</v>
      </c>
      <c r="CU55" s="18" t="s">
        <v>5141</v>
      </c>
      <c r="CV55" s="18" t="s">
        <v>5141</v>
      </c>
      <c r="CX55" s="18">
        <v>1</v>
      </c>
      <c r="CY55" s="18">
        <v>1</v>
      </c>
      <c r="CZ55" s="18">
        <v>1</v>
      </c>
      <c r="DA55" s="18">
        <v>1</v>
      </c>
      <c r="DB55" s="18">
        <v>1</v>
      </c>
      <c r="DC55" s="18">
        <v>1</v>
      </c>
      <c r="DD55" s="18">
        <v>1</v>
      </c>
      <c r="DE55" s="18" t="s">
        <v>5141</v>
      </c>
      <c r="DF55" s="18" t="s">
        <v>5141</v>
      </c>
      <c r="DG55" s="18">
        <v>1</v>
      </c>
      <c r="DH55" s="18">
        <v>1</v>
      </c>
      <c r="DI55" s="18">
        <v>1</v>
      </c>
      <c r="DK55" s="18">
        <v>1</v>
      </c>
      <c r="DL55" s="18">
        <v>1</v>
      </c>
      <c r="DM55" s="18" t="s">
        <v>5127</v>
      </c>
      <c r="DN55" s="18" t="s">
        <v>5172</v>
      </c>
      <c r="DO55" s="18" t="s">
        <v>5143</v>
      </c>
      <c r="DP55" s="18" t="s">
        <v>106</v>
      </c>
      <c r="DQ55" s="18" t="s">
        <v>179</v>
      </c>
      <c r="DS55" s="18">
        <v>0</v>
      </c>
      <c r="DT55" s="18">
        <v>0</v>
      </c>
      <c r="DU55" s="18">
        <v>1</v>
      </c>
      <c r="DV55" s="18" t="s">
        <v>5444</v>
      </c>
      <c r="DX55" s="18" t="s">
        <v>5222</v>
      </c>
      <c r="DY55" s="18" t="s">
        <v>106</v>
      </c>
      <c r="DZ55" s="18" t="s">
        <v>113</v>
      </c>
      <c r="EA55" s="18" t="s">
        <v>5202</v>
      </c>
      <c r="EB55" s="18">
        <v>25000</v>
      </c>
      <c r="EC55" s="18" t="s">
        <v>113</v>
      </c>
      <c r="ED55" s="18" t="s">
        <v>5176</v>
      </c>
      <c r="EE55" s="18" t="s">
        <v>113</v>
      </c>
      <c r="EF55" s="18" t="s">
        <v>113</v>
      </c>
      <c r="EG55" s="18" t="s">
        <v>5148</v>
      </c>
      <c r="EH55" s="18" t="s">
        <v>5203</v>
      </c>
      <c r="EI55" s="18" t="s">
        <v>5204</v>
      </c>
      <c r="EJ55" s="18" t="s">
        <v>5361</v>
      </c>
      <c r="EK55" s="18" t="s">
        <v>113</v>
      </c>
      <c r="EL55" s="18" t="s">
        <v>5475</v>
      </c>
      <c r="EM55" s="18" t="s">
        <v>5476</v>
      </c>
      <c r="EN55" s="18" t="s">
        <v>113</v>
      </c>
      <c r="EO55" s="18" t="s">
        <v>113</v>
      </c>
      <c r="EP55" s="18" t="s">
        <v>113</v>
      </c>
      <c r="EQ55" s="18" t="s">
        <v>106</v>
      </c>
      <c r="ER55" s="18" t="s">
        <v>5155</v>
      </c>
      <c r="ES55" s="18" t="s">
        <v>5447</v>
      </c>
      <c r="ET55" s="18" t="s">
        <v>5154</v>
      </c>
      <c r="EU55" s="18" t="s">
        <v>5318</v>
      </c>
      <c r="EV55" s="18" t="s">
        <v>5477</v>
      </c>
      <c r="EW55" s="18" t="s">
        <v>5406</v>
      </c>
      <c r="EX55" s="18" t="s">
        <v>5158</v>
      </c>
      <c r="EY55" s="18" t="s">
        <v>5181</v>
      </c>
      <c r="EZ55" s="18" t="s">
        <v>5160</v>
      </c>
      <c r="FA55" s="18" t="s">
        <v>144</v>
      </c>
      <c r="FB55" s="18" t="s">
        <v>5161</v>
      </c>
    </row>
    <row r="56" spans="1:158" ht="10.5" customHeight="1" x14ac:dyDescent="0.2">
      <c r="A56" s="16">
        <v>41</v>
      </c>
      <c r="B56" s="16" t="s">
        <v>2589</v>
      </c>
      <c r="C56" s="16" t="s">
        <v>2590</v>
      </c>
      <c r="D56" s="16">
        <v>8921</v>
      </c>
      <c r="E56" s="16" t="s">
        <v>6656</v>
      </c>
      <c r="H56" s="15" t="s">
        <v>6661</v>
      </c>
      <c r="AT56" s="17">
        <f>(365*D56*0.7)/1000</f>
        <v>2279.3155000000002</v>
      </c>
      <c r="AU56" s="17">
        <f t="shared" si="0"/>
        <v>0</v>
      </c>
      <c r="BW56" s="15">
        <f t="shared" si="1"/>
        <v>0</v>
      </c>
    </row>
    <row r="57" spans="1:158" ht="10.5" customHeight="1" x14ac:dyDescent="0.2">
      <c r="A57" s="16">
        <v>41</v>
      </c>
      <c r="B57" s="16" t="s">
        <v>922</v>
      </c>
      <c r="C57" s="16" t="s">
        <v>921</v>
      </c>
      <c r="D57" s="16">
        <v>23430</v>
      </c>
      <c r="E57" s="16" t="s">
        <v>6658</v>
      </c>
      <c r="F57" s="18" t="s">
        <v>921</v>
      </c>
      <c r="G57" s="18" t="s">
        <v>106</v>
      </c>
      <c r="H57" s="15" t="s">
        <v>5127</v>
      </c>
      <c r="I57" s="18">
        <v>20</v>
      </c>
      <c r="J57" s="18">
        <v>18</v>
      </c>
      <c r="K57" s="18">
        <v>2</v>
      </c>
      <c r="L57" s="18">
        <v>1</v>
      </c>
      <c r="M57" s="18" t="s">
        <v>5183</v>
      </c>
      <c r="N57" s="18" t="s">
        <v>933</v>
      </c>
      <c r="O57" s="18">
        <v>46823</v>
      </c>
      <c r="T57" s="18" t="s">
        <v>111</v>
      </c>
      <c r="U57" s="18" t="s">
        <v>5250</v>
      </c>
      <c r="V57" s="18" t="s">
        <v>106</v>
      </c>
      <c r="W57" s="18" t="s">
        <v>5211</v>
      </c>
      <c r="Y57" s="18" t="s">
        <v>5232</v>
      </c>
      <c r="Z57" s="18" t="s">
        <v>106</v>
      </c>
      <c r="AA57" s="18" t="s">
        <v>5163</v>
      </c>
      <c r="AB57" s="18" t="s">
        <v>179</v>
      </c>
      <c r="AC57" s="18" t="s">
        <v>5127</v>
      </c>
      <c r="AD57" s="18" t="s">
        <v>5127</v>
      </c>
      <c r="AE57" s="18" t="s">
        <v>5127</v>
      </c>
      <c r="AF57" s="18" t="s">
        <v>5127</v>
      </c>
      <c r="AG57" s="18" t="s">
        <v>5127</v>
      </c>
      <c r="AH57" s="18" t="s">
        <v>5127</v>
      </c>
      <c r="AI57" s="18">
        <v>3</v>
      </c>
      <c r="AK57" s="18" t="s">
        <v>5145</v>
      </c>
      <c r="AN57" s="18">
        <v>588</v>
      </c>
      <c r="AO57" s="18" t="s">
        <v>5165</v>
      </c>
      <c r="AP57" s="18" t="s">
        <v>5478</v>
      </c>
      <c r="AQ57" s="18" t="s">
        <v>5167</v>
      </c>
      <c r="AR57" s="18" t="s">
        <v>5168</v>
      </c>
      <c r="AT57" s="17">
        <f>(365*D57*0.7)/1000</f>
        <v>5986.3649999999998</v>
      </c>
      <c r="AU57" s="17">
        <f t="shared" si="0"/>
        <v>0</v>
      </c>
      <c r="AV57" s="18">
        <v>0</v>
      </c>
      <c r="AW57" s="18">
        <v>0</v>
      </c>
      <c r="AY57" s="18" t="s">
        <v>5479</v>
      </c>
      <c r="AZ57" s="18">
        <v>0</v>
      </c>
      <c r="BA57" s="18">
        <v>0</v>
      </c>
      <c r="BB57" s="18">
        <v>0</v>
      </c>
      <c r="BE57" s="18">
        <v>0</v>
      </c>
      <c r="BG57" s="18" t="s">
        <v>164</v>
      </c>
      <c r="BH57" s="18">
        <v>0</v>
      </c>
      <c r="BI57" s="18">
        <v>0</v>
      </c>
      <c r="BJ57" s="18">
        <v>0</v>
      </c>
      <c r="BQ57" s="18">
        <v>0</v>
      </c>
      <c r="BR57" s="18">
        <v>0</v>
      </c>
      <c r="BS57" s="18">
        <v>0</v>
      </c>
      <c r="BT57" s="18">
        <v>0</v>
      </c>
      <c r="BU57" s="18">
        <v>0</v>
      </c>
      <c r="BV57" s="18">
        <v>600</v>
      </c>
      <c r="BW57" s="15">
        <f t="shared" si="1"/>
        <v>0</v>
      </c>
      <c r="BY57" s="18" t="s">
        <v>5134</v>
      </c>
      <c r="BZ57" s="18" t="s">
        <v>5312</v>
      </c>
      <c r="CD57" s="18" t="s">
        <v>5127</v>
      </c>
      <c r="CE57" s="18" t="s">
        <v>5127</v>
      </c>
      <c r="CF57" s="18" t="s">
        <v>5282</v>
      </c>
      <c r="CG57" s="18" t="s">
        <v>5480</v>
      </c>
      <c r="CH57" s="18" t="s">
        <v>5241</v>
      </c>
      <c r="CI57" s="18" t="s">
        <v>5195</v>
      </c>
      <c r="CJ57" s="18" t="s">
        <v>5196</v>
      </c>
      <c r="CK57" s="18" t="s">
        <v>5341</v>
      </c>
      <c r="CL57" s="18">
        <v>2</v>
      </c>
      <c r="CM57" s="18">
        <v>0</v>
      </c>
      <c r="CN57" s="18">
        <v>0</v>
      </c>
      <c r="CO57" s="18">
        <v>2</v>
      </c>
      <c r="CP57" s="18">
        <v>4</v>
      </c>
      <c r="CQ57" s="18">
        <v>1</v>
      </c>
      <c r="CR57" s="18">
        <v>0</v>
      </c>
      <c r="CS57" s="18" t="s">
        <v>5141</v>
      </c>
      <c r="CT57" s="18">
        <v>1</v>
      </c>
      <c r="CU57" s="18">
        <v>1</v>
      </c>
      <c r="CV57" s="18">
        <v>2</v>
      </c>
      <c r="CX57" s="18">
        <v>0</v>
      </c>
      <c r="CY57" s="18">
        <v>0</v>
      </c>
      <c r="CZ57" s="18">
        <v>0</v>
      </c>
      <c r="DA57" s="18">
        <v>0</v>
      </c>
      <c r="DB57" s="18">
        <v>0</v>
      </c>
      <c r="DC57" s="18">
        <v>0</v>
      </c>
      <c r="DD57" s="18">
        <v>0</v>
      </c>
      <c r="DE57" s="18">
        <v>0</v>
      </c>
      <c r="DF57" s="18">
        <v>0</v>
      </c>
      <c r="DG57" s="18">
        <v>1</v>
      </c>
      <c r="DH57" s="18">
        <v>0</v>
      </c>
      <c r="DI57" s="18">
        <v>0</v>
      </c>
      <c r="DK57" s="18">
        <v>0</v>
      </c>
      <c r="DL57" s="18">
        <v>1</v>
      </c>
      <c r="DM57" s="18" t="s">
        <v>5127</v>
      </c>
      <c r="DN57" s="18" t="s">
        <v>5172</v>
      </c>
      <c r="DO57" s="18" t="s">
        <v>5481</v>
      </c>
      <c r="DP57" s="18" t="s">
        <v>113</v>
      </c>
      <c r="DQ57" s="18" t="s">
        <v>179</v>
      </c>
      <c r="DS57" s="18">
        <v>0</v>
      </c>
      <c r="DT57" s="18">
        <v>1</v>
      </c>
      <c r="DU57" s="18">
        <v>2</v>
      </c>
      <c r="DV57" s="18" t="s">
        <v>5342</v>
      </c>
      <c r="DX57" s="18" t="s">
        <v>5222</v>
      </c>
      <c r="DY57" s="18" t="s">
        <v>106</v>
      </c>
      <c r="DZ57" s="18" t="s">
        <v>113</v>
      </c>
      <c r="EA57" s="18" t="s">
        <v>5285</v>
      </c>
      <c r="EB57" s="18">
        <v>588</v>
      </c>
      <c r="EC57" s="18" t="s">
        <v>106</v>
      </c>
      <c r="ED57" s="18" t="s">
        <v>5176</v>
      </c>
      <c r="EE57" s="18" t="s">
        <v>113</v>
      </c>
      <c r="EF57" s="18" t="s">
        <v>106</v>
      </c>
      <c r="EG57" s="18" t="s">
        <v>5404</v>
      </c>
      <c r="EH57" s="18" t="s">
        <v>5203</v>
      </c>
      <c r="EI57" s="18" t="s">
        <v>5204</v>
      </c>
      <c r="EJ57" s="18" t="s">
        <v>5245</v>
      </c>
      <c r="EK57" s="18" t="s">
        <v>113</v>
      </c>
      <c r="EL57" s="18">
        <v>0</v>
      </c>
      <c r="EM57" s="18">
        <v>0</v>
      </c>
      <c r="EN57" s="18" t="s">
        <v>113</v>
      </c>
      <c r="EO57" s="18" t="s">
        <v>113</v>
      </c>
      <c r="EP57" s="18" t="s">
        <v>113</v>
      </c>
      <c r="EQ57" s="18" t="s">
        <v>113</v>
      </c>
      <c r="ER57" s="18" t="s">
        <v>5152</v>
      </c>
      <c r="ES57" s="18" t="s">
        <v>5153</v>
      </c>
      <c r="ET57" s="18" t="s">
        <v>5154</v>
      </c>
      <c r="EU57" s="18" t="s">
        <v>5318</v>
      </c>
      <c r="EV57" s="18" t="s">
        <v>5482</v>
      </c>
      <c r="EW57" s="18" t="s">
        <v>5483</v>
      </c>
      <c r="EX57" s="18" t="s">
        <v>5158</v>
      </c>
      <c r="EY57" s="18" t="s">
        <v>5229</v>
      </c>
      <c r="EZ57" s="18" t="s">
        <v>5182</v>
      </c>
      <c r="FA57" s="18" t="s">
        <v>144</v>
      </c>
      <c r="FB57" s="18" t="s">
        <v>5161</v>
      </c>
    </row>
    <row r="58" spans="1:158" ht="10.5" customHeight="1" x14ac:dyDescent="0.2">
      <c r="A58" s="16">
        <v>41</v>
      </c>
      <c r="B58" s="16" t="s">
        <v>939</v>
      </c>
      <c r="C58" s="16" t="s">
        <v>938</v>
      </c>
      <c r="D58" s="16">
        <v>111009</v>
      </c>
      <c r="E58" s="16" t="s">
        <v>6657</v>
      </c>
      <c r="F58" s="18" t="s">
        <v>938</v>
      </c>
      <c r="G58" s="18" t="s">
        <v>106</v>
      </c>
      <c r="H58" s="15" t="s">
        <v>5127</v>
      </c>
      <c r="I58" s="18">
        <v>7</v>
      </c>
      <c r="J58" s="18">
        <v>4</v>
      </c>
      <c r="K58" s="18">
        <v>3</v>
      </c>
      <c r="L58" s="18">
        <v>0</v>
      </c>
      <c r="M58" s="18" t="s">
        <v>5183</v>
      </c>
      <c r="N58" s="18" t="s">
        <v>5484</v>
      </c>
      <c r="O58" s="18">
        <v>46198</v>
      </c>
      <c r="T58" s="18" t="s">
        <v>111</v>
      </c>
      <c r="U58" s="18" t="s">
        <v>5185</v>
      </c>
      <c r="V58" s="18" t="s">
        <v>106</v>
      </c>
      <c r="W58" s="18" t="s">
        <v>5124</v>
      </c>
      <c r="Y58" s="18" t="s">
        <v>5232</v>
      </c>
      <c r="Z58" s="18" t="s">
        <v>113</v>
      </c>
      <c r="AA58" s="18" t="s">
        <v>5267</v>
      </c>
      <c r="AB58" s="18" t="s">
        <v>179</v>
      </c>
      <c r="AC58" s="18" t="s">
        <v>111</v>
      </c>
      <c r="AD58" s="18" t="s">
        <v>5127</v>
      </c>
      <c r="AE58" s="18" t="s">
        <v>5127</v>
      </c>
      <c r="AF58" s="18" t="s">
        <v>111</v>
      </c>
      <c r="AG58" s="18" t="s">
        <v>5127</v>
      </c>
      <c r="AH58" s="18" t="s">
        <v>111</v>
      </c>
      <c r="AI58" s="18">
        <v>1</v>
      </c>
      <c r="AK58" s="18" t="s">
        <v>5164</v>
      </c>
      <c r="AN58" s="18">
        <v>0</v>
      </c>
      <c r="AO58" s="18" t="s">
        <v>5129</v>
      </c>
      <c r="AP58" s="18" t="s">
        <v>5485</v>
      </c>
      <c r="AQ58" s="18" t="s">
        <v>5486</v>
      </c>
      <c r="AR58" s="18" t="s">
        <v>5168</v>
      </c>
      <c r="AT58" s="17">
        <f>(365*D58*0.7)/1000</f>
        <v>28362.799500000001</v>
      </c>
      <c r="AU58" s="17">
        <f t="shared" si="0"/>
        <v>0</v>
      </c>
      <c r="AV58" s="18">
        <v>0</v>
      </c>
      <c r="AW58" s="18">
        <v>0</v>
      </c>
      <c r="AY58" s="18" t="s">
        <v>5487</v>
      </c>
      <c r="BG58" s="18" t="s">
        <v>5169</v>
      </c>
      <c r="BQ58" s="18">
        <v>0</v>
      </c>
      <c r="BR58" s="18">
        <v>0</v>
      </c>
      <c r="BS58" s="18">
        <v>0</v>
      </c>
      <c r="BT58" s="18">
        <v>0</v>
      </c>
      <c r="BU58" s="18">
        <v>0</v>
      </c>
      <c r="BV58" s="18">
        <v>0</v>
      </c>
      <c r="BW58" s="15">
        <f t="shared" si="1"/>
        <v>0</v>
      </c>
      <c r="BY58" s="18" t="s">
        <v>5134</v>
      </c>
      <c r="BZ58" s="18" t="s">
        <v>5192</v>
      </c>
      <c r="CD58" s="18" t="s">
        <v>5127</v>
      </c>
      <c r="CE58" s="18" t="s">
        <v>111</v>
      </c>
      <c r="CF58" s="18" t="s">
        <v>5135</v>
      </c>
      <c r="CG58" s="18" t="s">
        <v>5193</v>
      </c>
      <c r="CH58" s="18" t="s">
        <v>111</v>
      </c>
      <c r="CI58" s="18" t="s">
        <v>5195</v>
      </c>
      <c r="CJ58" s="18" t="s">
        <v>5196</v>
      </c>
      <c r="CK58" s="18" t="s">
        <v>5197</v>
      </c>
      <c r="CL58" s="18">
        <v>2</v>
      </c>
      <c r="CM58" s="18">
        <v>0</v>
      </c>
      <c r="CN58" s="18">
        <v>0</v>
      </c>
      <c r="CO58" s="18">
        <v>1</v>
      </c>
      <c r="CP58" s="18">
        <v>1</v>
      </c>
      <c r="CQ58" s="18">
        <v>0</v>
      </c>
      <c r="CR58" s="18">
        <v>0</v>
      </c>
      <c r="CS58" s="18" t="s">
        <v>5141</v>
      </c>
      <c r="CT58" s="18">
        <v>0</v>
      </c>
      <c r="CU58" s="18">
        <v>0</v>
      </c>
      <c r="CV58" s="18">
        <v>1</v>
      </c>
      <c r="CX58" s="18">
        <v>1</v>
      </c>
      <c r="CY58" s="18">
        <v>1</v>
      </c>
      <c r="CZ58" s="18">
        <v>1</v>
      </c>
      <c r="DA58" s="18">
        <v>1</v>
      </c>
      <c r="DB58" s="18">
        <v>1</v>
      </c>
      <c r="DC58" s="18">
        <v>1</v>
      </c>
      <c r="DD58" s="18">
        <v>1</v>
      </c>
      <c r="DE58" s="18">
        <v>0</v>
      </c>
      <c r="DF58" s="18" t="s">
        <v>5141</v>
      </c>
      <c r="DG58" s="18">
        <v>1</v>
      </c>
      <c r="DH58" s="18">
        <v>1</v>
      </c>
      <c r="DI58" s="18">
        <v>1</v>
      </c>
      <c r="DK58" s="18">
        <v>0</v>
      </c>
      <c r="DL58" s="18">
        <v>0</v>
      </c>
      <c r="DM58" s="18" t="s">
        <v>5127</v>
      </c>
      <c r="DN58" s="18" t="s">
        <v>5172</v>
      </c>
      <c r="DO58" s="18" t="s">
        <v>5488</v>
      </c>
      <c r="DP58" s="18" t="s">
        <v>113</v>
      </c>
      <c r="DS58" s="18">
        <v>0</v>
      </c>
      <c r="DT58" s="18">
        <v>1</v>
      </c>
      <c r="DU58" s="18">
        <v>1</v>
      </c>
      <c r="DV58" s="18" t="s">
        <v>5301</v>
      </c>
      <c r="DX58" s="18" t="s">
        <v>5222</v>
      </c>
      <c r="DY58" s="18" t="s">
        <v>106</v>
      </c>
      <c r="DZ58" s="18" t="s">
        <v>113</v>
      </c>
      <c r="EA58" s="18" t="s">
        <v>5453</v>
      </c>
      <c r="EB58" s="18">
        <v>0</v>
      </c>
      <c r="EC58" s="18" t="s">
        <v>106</v>
      </c>
      <c r="ED58" s="18" t="s">
        <v>5147</v>
      </c>
      <c r="EE58" s="18" t="s">
        <v>106</v>
      </c>
      <c r="EF58" s="18" t="s">
        <v>106</v>
      </c>
      <c r="EG58" s="18" t="s">
        <v>5404</v>
      </c>
      <c r="EH58" s="18" t="s">
        <v>5149</v>
      </c>
      <c r="EI58" s="18" t="s">
        <v>5204</v>
      </c>
      <c r="EJ58" s="18" t="s">
        <v>5304</v>
      </c>
      <c r="EN58" s="18" t="s">
        <v>113</v>
      </c>
      <c r="EO58" s="18" t="s">
        <v>113</v>
      </c>
      <c r="EP58" s="18" t="s">
        <v>113</v>
      </c>
      <c r="EQ58" s="18" t="s">
        <v>113</v>
      </c>
      <c r="ER58" s="18" t="s">
        <v>5152</v>
      </c>
      <c r="ES58" s="18" t="s">
        <v>5153</v>
      </c>
      <c r="ET58" s="18" t="s">
        <v>5154</v>
      </c>
      <c r="EU58" s="18" t="s">
        <v>5318</v>
      </c>
      <c r="EV58" s="18" t="s">
        <v>5489</v>
      </c>
      <c r="EW58" s="18" t="s">
        <v>5291</v>
      </c>
      <c r="EX58" s="18" t="s">
        <v>5158</v>
      </c>
      <c r="EY58" s="18" t="s">
        <v>5248</v>
      </c>
      <c r="EZ58" s="18" t="s">
        <v>5182</v>
      </c>
      <c r="FA58" s="18" t="s">
        <v>144</v>
      </c>
      <c r="FB58" s="18" t="s">
        <v>5161</v>
      </c>
    </row>
    <row r="59" spans="1:158" ht="10.5" customHeight="1" x14ac:dyDescent="0.2">
      <c r="A59" s="16">
        <v>41</v>
      </c>
      <c r="B59" s="16" t="s">
        <v>939</v>
      </c>
      <c r="C59" s="16" t="s">
        <v>938</v>
      </c>
      <c r="D59" s="16">
        <v>111009</v>
      </c>
      <c r="E59" s="16" t="s">
        <v>6657</v>
      </c>
      <c r="F59" s="18" t="s">
        <v>938</v>
      </c>
      <c r="G59" s="18" t="s">
        <v>106</v>
      </c>
      <c r="H59" s="15" t="s">
        <v>5127</v>
      </c>
      <c r="I59" s="18">
        <v>8</v>
      </c>
      <c r="J59" s="18">
        <v>4</v>
      </c>
      <c r="K59" s="18">
        <v>4</v>
      </c>
      <c r="L59" s="18">
        <v>0</v>
      </c>
      <c r="M59" s="18" t="s">
        <v>5183</v>
      </c>
      <c r="N59" s="18" t="s">
        <v>5490</v>
      </c>
      <c r="O59" s="18">
        <v>47049</v>
      </c>
      <c r="T59" s="18" t="s">
        <v>111</v>
      </c>
      <c r="U59" s="18" t="s">
        <v>5250</v>
      </c>
      <c r="V59" s="18" t="s">
        <v>106</v>
      </c>
      <c r="W59" s="18" t="s">
        <v>5124</v>
      </c>
      <c r="Y59" s="18" t="s">
        <v>5232</v>
      </c>
      <c r="Z59" s="18" t="s">
        <v>113</v>
      </c>
      <c r="AA59" s="18" t="s">
        <v>5267</v>
      </c>
      <c r="AC59" s="18" t="s">
        <v>111</v>
      </c>
      <c r="AD59" s="18" t="s">
        <v>5127</v>
      </c>
      <c r="AE59" s="18" t="s">
        <v>5127</v>
      </c>
      <c r="AF59" s="18" t="s">
        <v>111</v>
      </c>
      <c r="AG59" s="18" t="s">
        <v>5127</v>
      </c>
      <c r="AH59" s="18" t="s">
        <v>111</v>
      </c>
      <c r="AI59" s="18">
        <v>0</v>
      </c>
      <c r="AK59" s="18" t="s">
        <v>5164</v>
      </c>
      <c r="AN59" s="18" t="s">
        <v>5491</v>
      </c>
      <c r="AO59" s="18" t="s">
        <v>5129</v>
      </c>
      <c r="AP59" s="18" t="s">
        <v>5492</v>
      </c>
      <c r="AQ59" s="18" t="s">
        <v>5311</v>
      </c>
      <c r="AR59" s="18" t="s">
        <v>5168</v>
      </c>
      <c r="AT59" s="17">
        <f>(365*D59*0.7)/1000</f>
        <v>28362.799500000001</v>
      </c>
      <c r="AU59" s="17">
        <f t="shared" si="0"/>
        <v>150</v>
      </c>
      <c r="AV59" s="18">
        <f>150000/1000</f>
        <v>150</v>
      </c>
      <c r="AW59" s="18">
        <v>0</v>
      </c>
      <c r="AY59" s="18" t="s">
        <v>5493</v>
      </c>
      <c r="AZ59" s="18">
        <v>0</v>
      </c>
      <c r="BA59" s="18">
        <v>0</v>
      </c>
      <c r="BB59" s="18">
        <v>0</v>
      </c>
      <c r="BD59" s="18">
        <v>0</v>
      </c>
      <c r="BE59" s="18">
        <v>0</v>
      </c>
      <c r="BG59" s="18" t="s">
        <v>5169</v>
      </c>
      <c r="BH59" s="18">
        <v>0</v>
      </c>
      <c r="BI59" s="18">
        <v>0</v>
      </c>
      <c r="BJ59" s="18">
        <v>0</v>
      </c>
      <c r="BQ59" s="18">
        <v>100</v>
      </c>
      <c r="BR59" s="18">
        <v>100</v>
      </c>
      <c r="BS59" s="18">
        <v>100</v>
      </c>
      <c r="BT59" s="18">
        <v>90</v>
      </c>
      <c r="BU59" s="18">
        <v>0</v>
      </c>
      <c r="BV59" s="18">
        <v>390</v>
      </c>
      <c r="BW59" s="15">
        <f t="shared" si="1"/>
        <v>390</v>
      </c>
      <c r="BY59" s="18" t="s">
        <v>5134</v>
      </c>
      <c r="BZ59" s="18" t="s">
        <v>5494</v>
      </c>
      <c r="CD59" s="18" t="s">
        <v>5127</v>
      </c>
      <c r="CE59" s="18" t="s">
        <v>111</v>
      </c>
      <c r="CF59" s="18" t="s">
        <v>5135</v>
      </c>
      <c r="CG59" s="18" t="s">
        <v>5193</v>
      </c>
      <c r="CH59" s="18" t="s">
        <v>5241</v>
      </c>
      <c r="CI59" s="18" t="s">
        <v>5195</v>
      </c>
      <c r="CJ59" s="18" t="s">
        <v>5196</v>
      </c>
      <c r="CK59" s="18" t="s">
        <v>5197</v>
      </c>
      <c r="CL59" s="18">
        <v>1</v>
      </c>
      <c r="CM59" s="18">
        <v>0</v>
      </c>
      <c r="CN59" s="18">
        <v>0</v>
      </c>
      <c r="CO59" s="18">
        <v>1</v>
      </c>
      <c r="CP59" s="18">
        <v>1</v>
      </c>
      <c r="CQ59" s="18">
        <v>0</v>
      </c>
      <c r="CR59" s="18">
        <v>0</v>
      </c>
      <c r="CS59" s="18" t="s">
        <v>5141</v>
      </c>
      <c r="CT59" s="18">
        <v>0</v>
      </c>
      <c r="CU59" s="18">
        <v>0</v>
      </c>
      <c r="CV59" s="18">
        <v>0</v>
      </c>
      <c r="CX59" s="18">
        <v>1</v>
      </c>
      <c r="CY59" s="18">
        <v>1</v>
      </c>
      <c r="CZ59" s="18">
        <v>1</v>
      </c>
      <c r="DA59" s="18">
        <v>1</v>
      </c>
      <c r="DB59" s="18">
        <v>1</v>
      </c>
      <c r="DC59" s="18">
        <v>1</v>
      </c>
      <c r="DD59" s="18">
        <v>1</v>
      </c>
      <c r="DE59" s="18">
        <v>1</v>
      </c>
      <c r="DF59" s="18">
        <v>1</v>
      </c>
      <c r="DG59" s="18">
        <v>1</v>
      </c>
      <c r="DH59" s="18">
        <v>1</v>
      </c>
      <c r="DI59" s="18">
        <v>1</v>
      </c>
      <c r="DK59" s="18">
        <v>0</v>
      </c>
      <c r="DL59" s="18">
        <v>1</v>
      </c>
      <c r="DM59" s="18" t="s">
        <v>5127</v>
      </c>
      <c r="DN59" s="18" t="s">
        <v>5314</v>
      </c>
      <c r="DO59" s="18" t="s">
        <v>5495</v>
      </c>
      <c r="DP59" s="18" t="s">
        <v>113</v>
      </c>
      <c r="DS59" s="18">
        <v>0</v>
      </c>
      <c r="DT59" s="18">
        <v>0</v>
      </c>
      <c r="DU59" s="18">
        <v>1</v>
      </c>
      <c r="DV59" s="18" t="s">
        <v>5342</v>
      </c>
      <c r="DX59" s="18" t="s">
        <v>5222</v>
      </c>
      <c r="DY59" s="18" t="s">
        <v>113</v>
      </c>
      <c r="DZ59" s="18" t="s">
        <v>113</v>
      </c>
      <c r="EA59" s="18" t="s">
        <v>5337</v>
      </c>
      <c r="EB59" s="18" t="s">
        <v>5496</v>
      </c>
      <c r="EC59" s="18" t="s">
        <v>106</v>
      </c>
      <c r="ED59" s="18" t="s">
        <v>5147</v>
      </c>
      <c r="EE59" s="18" t="s">
        <v>106</v>
      </c>
      <c r="EF59" s="18" t="s">
        <v>106</v>
      </c>
      <c r="EG59" s="18" t="s">
        <v>5148</v>
      </c>
      <c r="EH59" s="18" t="s">
        <v>5203</v>
      </c>
      <c r="EI59" s="18" t="s">
        <v>5204</v>
      </c>
      <c r="EJ59" s="18" t="s">
        <v>5497</v>
      </c>
      <c r="EN59" s="18" t="s">
        <v>113</v>
      </c>
      <c r="EO59" s="18" t="s">
        <v>113</v>
      </c>
      <c r="EP59" s="18" t="s">
        <v>113</v>
      </c>
      <c r="EQ59" s="18" t="s">
        <v>106</v>
      </c>
      <c r="ER59" s="18" t="s">
        <v>5328</v>
      </c>
      <c r="ES59" s="18" t="s">
        <v>5498</v>
      </c>
      <c r="ET59" s="18" t="s">
        <v>5154</v>
      </c>
      <c r="EU59" s="18" t="s">
        <v>5155</v>
      </c>
      <c r="EV59" s="18" t="s">
        <v>5499</v>
      </c>
      <c r="EW59" s="18" t="s">
        <v>5320</v>
      </c>
      <c r="EX59" s="18" t="s">
        <v>5158</v>
      </c>
      <c r="EY59" s="18" t="s">
        <v>5159</v>
      </c>
      <c r="EZ59" s="18" t="s">
        <v>5182</v>
      </c>
      <c r="FA59" s="18" t="s">
        <v>144</v>
      </c>
      <c r="FB59" s="18" t="s">
        <v>5161</v>
      </c>
    </row>
    <row r="60" spans="1:158" ht="10.5" customHeight="1" x14ac:dyDescent="0.2">
      <c r="A60" s="16">
        <v>41</v>
      </c>
      <c r="B60" s="16" t="s">
        <v>939</v>
      </c>
      <c r="C60" s="16" t="s">
        <v>938</v>
      </c>
      <c r="D60" s="16">
        <v>111009</v>
      </c>
      <c r="E60" s="16" t="s">
        <v>6657</v>
      </c>
      <c r="F60" s="18" t="s">
        <v>938</v>
      </c>
      <c r="G60" s="18" t="s">
        <v>106</v>
      </c>
      <c r="H60" s="15" t="s">
        <v>5127</v>
      </c>
      <c r="I60" s="18">
        <v>23</v>
      </c>
      <c r="J60" s="18">
        <v>6</v>
      </c>
      <c r="K60" s="18">
        <v>17</v>
      </c>
      <c r="L60" s="18">
        <v>0</v>
      </c>
      <c r="M60" s="18" t="s">
        <v>5183</v>
      </c>
      <c r="N60" s="18" t="s">
        <v>5500</v>
      </c>
      <c r="O60" s="18">
        <v>49151</v>
      </c>
      <c r="T60" s="18" t="s">
        <v>5501</v>
      </c>
      <c r="U60" s="18" t="s">
        <v>5185</v>
      </c>
      <c r="V60" s="18" t="s">
        <v>106</v>
      </c>
      <c r="W60" s="18" t="s">
        <v>5124</v>
      </c>
      <c r="Y60" s="18" t="s">
        <v>5232</v>
      </c>
      <c r="Z60" s="18" t="s">
        <v>106</v>
      </c>
      <c r="AA60" s="18" t="s">
        <v>5267</v>
      </c>
      <c r="AC60" s="18" t="s">
        <v>5127</v>
      </c>
      <c r="AD60" s="18" t="s">
        <v>5127</v>
      </c>
      <c r="AE60" s="18" t="s">
        <v>5127</v>
      </c>
      <c r="AF60" s="18" t="s">
        <v>111</v>
      </c>
      <c r="AG60" s="18" t="s">
        <v>5127</v>
      </c>
      <c r="AH60" s="18" t="s">
        <v>111</v>
      </c>
      <c r="AI60" s="18">
        <v>1</v>
      </c>
      <c r="AK60" s="18" t="s">
        <v>5164</v>
      </c>
      <c r="AN60" s="18">
        <v>10889</v>
      </c>
      <c r="AO60" s="18" t="s">
        <v>5186</v>
      </c>
      <c r="AP60" s="18" t="s">
        <v>5502</v>
      </c>
      <c r="AQ60" s="18" t="s">
        <v>5503</v>
      </c>
      <c r="AR60" s="18" t="s">
        <v>5168</v>
      </c>
      <c r="AT60" s="17">
        <f>(365*D60*0.7)/1000</f>
        <v>28362.799500000001</v>
      </c>
      <c r="AU60" s="17">
        <f t="shared" si="0"/>
        <v>276.27300000000002</v>
      </c>
      <c r="AV60" s="18">
        <f>276273/1000</f>
        <v>276.27300000000002</v>
      </c>
      <c r="AW60" s="18">
        <v>0</v>
      </c>
      <c r="AY60" s="18" t="s">
        <v>164</v>
      </c>
      <c r="AZ60" s="18">
        <v>0</v>
      </c>
      <c r="BA60" s="18">
        <v>0</v>
      </c>
      <c r="BB60" s="18">
        <v>0</v>
      </c>
      <c r="BD60" s="18">
        <f>3100/1000</f>
        <v>3.1</v>
      </c>
      <c r="BE60" s="18">
        <v>0</v>
      </c>
      <c r="BG60" s="18" t="s">
        <v>5190</v>
      </c>
      <c r="BH60" s="18">
        <v>0</v>
      </c>
      <c r="BI60" s="18">
        <v>0</v>
      </c>
      <c r="BJ60" s="18">
        <v>0</v>
      </c>
      <c r="BQ60" s="18">
        <v>365.91699999999997</v>
      </c>
      <c r="BR60" s="18">
        <v>249.197</v>
      </c>
      <c r="BS60" s="18">
        <v>47.615000000000002</v>
      </c>
      <c r="BT60" s="18">
        <v>188.28</v>
      </c>
      <c r="BU60" s="18">
        <v>0</v>
      </c>
      <c r="BV60" s="18">
        <f>SUM(BQ60:BU60)</f>
        <v>851.00900000000001</v>
      </c>
      <c r="BW60" s="15">
        <f t="shared" si="1"/>
        <v>851.00900000000001</v>
      </c>
      <c r="BY60" s="18" t="s">
        <v>5134</v>
      </c>
      <c r="BZ60" s="18" t="s">
        <v>5240</v>
      </c>
      <c r="CD60" s="18" t="s">
        <v>111</v>
      </c>
      <c r="CE60" s="18" t="s">
        <v>111</v>
      </c>
      <c r="CF60" s="18" t="s">
        <v>5135</v>
      </c>
      <c r="CG60" s="18" t="s">
        <v>5193</v>
      </c>
      <c r="CH60" s="18" t="s">
        <v>5504</v>
      </c>
      <c r="CI60" s="18" t="s">
        <v>5138</v>
      </c>
      <c r="CJ60" s="18" t="s">
        <v>5196</v>
      </c>
      <c r="CK60" s="18" t="s">
        <v>5336</v>
      </c>
      <c r="CL60" s="18">
        <v>1</v>
      </c>
      <c r="CM60" s="18">
        <v>0</v>
      </c>
      <c r="CN60" s="18">
        <v>1</v>
      </c>
      <c r="CO60" s="18">
        <v>1</v>
      </c>
      <c r="CP60" s="18">
        <v>1</v>
      </c>
      <c r="CQ60" s="18">
        <v>1</v>
      </c>
      <c r="CR60" s="18">
        <v>0</v>
      </c>
      <c r="CS60" s="18" t="s">
        <v>5141</v>
      </c>
      <c r="CT60" s="18">
        <v>1</v>
      </c>
      <c r="CU60" s="18">
        <v>0</v>
      </c>
      <c r="CV60" s="18">
        <v>0</v>
      </c>
      <c r="CX60" s="18">
        <v>0</v>
      </c>
      <c r="CY60" s="18">
        <v>1</v>
      </c>
      <c r="CZ60" s="18">
        <v>0</v>
      </c>
      <c r="DA60" s="18">
        <v>1</v>
      </c>
      <c r="DB60" s="18">
        <v>0</v>
      </c>
      <c r="DC60" s="18">
        <v>1</v>
      </c>
      <c r="DD60" s="18">
        <v>1</v>
      </c>
      <c r="DE60" s="18">
        <v>1</v>
      </c>
      <c r="DF60" s="18">
        <v>0</v>
      </c>
      <c r="DG60" s="18">
        <v>0</v>
      </c>
      <c r="DH60" s="18">
        <v>1</v>
      </c>
      <c r="DI60" s="18">
        <v>1</v>
      </c>
      <c r="DK60" s="18">
        <v>0</v>
      </c>
      <c r="DL60" s="18">
        <v>1</v>
      </c>
      <c r="DM60" s="18" t="s">
        <v>111</v>
      </c>
      <c r="DN60" s="18" t="s">
        <v>5172</v>
      </c>
      <c r="DO60" s="18" t="s">
        <v>5505</v>
      </c>
      <c r="DP60" s="18" t="s">
        <v>113</v>
      </c>
      <c r="DQ60" s="18" t="s">
        <v>5168</v>
      </c>
      <c r="DS60" s="18">
        <v>0</v>
      </c>
      <c r="DT60" s="18">
        <v>1</v>
      </c>
      <c r="DU60" s="18">
        <v>0</v>
      </c>
      <c r="DV60" s="18" t="s">
        <v>5260</v>
      </c>
      <c r="DX60" s="18" t="s">
        <v>5222</v>
      </c>
      <c r="DY60" s="18" t="s">
        <v>113</v>
      </c>
      <c r="DZ60" s="18" t="s">
        <v>113</v>
      </c>
      <c r="EA60" s="18" t="s">
        <v>5506</v>
      </c>
      <c r="EB60" s="18">
        <v>812626</v>
      </c>
      <c r="EC60" s="18" t="s">
        <v>106</v>
      </c>
      <c r="ED60" s="18" t="s">
        <v>5176</v>
      </c>
      <c r="EE60" s="18" t="s">
        <v>106</v>
      </c>
      <c r="EF60" s="18" t="s">
        <v>106</v>
      </c>
      <c r="EG60" s="18" t="s">
        <v>5148</v>
      </c>
      <c r="EH60" s="18" t="s">
        <v>5203</v>
      </c>
      <c r="EI60" s="18" t="s">
        <v>5204</v>
      </c>
      <c r="EJ60" s="18" t="s">
        <v>5287</v>
      </c>
      <c r="EK60" s="18" t="s">
        <v>113</v>
      </c>
      <c r="EM60" s="18" t="s">
        <v>5227</v>
      </c>
      <c r="EN60" s="18" t="s">
        <v>113</v>
      </c>
      <c r="EO60" s="18" t="s">
        <v>113</v>
      </c>
      <c r="EP60" s="18" t="s">
        <v>113</v>
      </c>
      <c r="EQ60" s="18" t="s">
        <v>113</v>
      </c>
      <c r="ER60" s="18" t="s">
        <v>5152</v>
      </c>
      <c r="ES60" s="18" t="s">
        <v>5153</v>
      </c>
      <c r="ET60" s="18" t="s">
        <v>5154</v>
      </c>
      <c r="EU60" s="18" t="s">
        <v>5318</v>
      </c>
      <c r="EV60" s="18" t="s">
        <v>5507</v>
      </c>
      <c r="EW60" s="18" t="s">
        <v>5291</v>
      </c>
      <c r="EX60" s="18" t="s">
        <v>5158</v>
      </c>
      <c r="EY60" s="18" t="s">
        <v>5278</v>
      </c>
      <c r="EZ60" s="18" t="s">
        <v>5182</v>
      </c>
      <c r="FA60" s="18" t="s">
        <v>144</v>
      </c>
      <c r="FB60" s="18" t="s">
        <v>5161</v>
      </c>
    </row>
    <row r="61" spans="1:158" ht="10.5" customHeight="1" x14ac:dyDescent="0.2">
      <c r="A61" s="16">
        <v>41</v>
      </c>
      <c r="B61" s="16" t="s">
        <v>963</v>
      </c>
      <c r="C61" s="16" t="s">
        <v>962</v>
      </c>
      <c r="D61" s="16">
        <v>9899</v>
      </c>
      <c r="E61" s="16" t="s">
        <v>6656</v>
      </c>
      <c r="F61" s="18" t="s">
        <v>962</v>
      </c>
      <c r="G61" s="18" t="s">
        <v>106</v>
      </c>
      <c r="H61" s="15" t="s">
        <v>5127</v>
      </c>
      <c r="I61" s="18">
        <v>8</v>
      </c>
      <c r="J61" s="18">
        <v>5</v>
      </c>
      <c r="K61" s="18">
        <v>3</v>
      </c>
      <c r="M61" s="18" t="s">
        <v>5183</v>
      </c>
      <c r="N61" s="18" t="s">
        <v>5508</v>
      </c>
      <c r="O61" s="18">
        <v>47666</v>
      </c>
      <c r="T61" s="18" t="s">
        <v>111</v>
      </c>
      <c r="U61" s="18" t="s">
        <v>5250</v>
      </c>
      <c r="V61" s="18" t="s">
        <v>106</v>
      </c>
      <c r="W61" s="18" t="s">
        <v>113</v>
      </c>
      <c r="Y61" s="18" t="s">
        <v>5162</v>
      </c>
      <c r="Z61" s="18" t="s">
        <v>113</v>
      </c>
      <c r="AA61" s="18" t="s">
        <v>5163</v>
      </c>
      <c r="AC61" s="18" t="s">
        <v>111</v>
      </c>
      <c r="AD61" s="18" t="s">
        <v>5127</v>
      </c>
      <c r="AE61" s="18" t="s">
        <v>5127</v>
      </c>
      <c r="AF61" s="18" t="s">
        <v>111</v>
      </c>
      <c r="AG61" s="18" t="s">
        <v>5127</v>
      </c>
      <c r="AH61" s="18" t="s">
        <v>111</v>
      </c>
      <c r="AI61" s="18">
        <v>0</v>
      </c>
      <c r="AK61" s="18" t="s">
        <v>5509</v>
      </c>
      <c r="AN61" s="18" t="s">
        <v>3411</v>
      </c>
      <c r="AO61" s="18" t="s">
        <v>5129</v>
      </c>
      <c r="AP61" s="18" t="s">
        <v>5510</v>
      </c>
      <c r="AQ61" s="18" t="s">
        <v>5311</v>
      </c>
      <c r="AR61" s="18" t="s">
        <v>5168</v>
      </c>
      <c r="AT61" s="17">
        <f>(365*D61*0.7)/1000</f>
        <v>2529.1945000000001</v>
      </c>
      <c r="AU61" s="17">
        <f t="shared" si="0"/>
        <v>6.72</v>
      </c>
      <c r="AV61" s="18">
        <v>6.72</v>
      </c>
      <c r="AW61" s="18">
        <v>0</v>
      </c>
      <c r="AY61" s="18" t="s">
        <v>5511</v>
      </c>
      <c r="BG61" s="18" t="s">
        <v>5281</v>
      </c>
      <c r="BQ61" s="18">
        <v>45.52</v>
      </c>
      <c r="BR61" s="18">
        <v>25.06</v>
      </c>
      <c r="BS61" s="18">
        <v>8.67</v>
      </c>
      <c r="BT61" s="18">
        <v>18.87</v>
      </c>
      <c r="BU61" s="18">
        <v>2.0099999999999998</v>
      </c>
      <c r="BV61" s="18">
        <v>100</v>
      </c>
      <c r="BW61" s="15">
        <f t="shared" si="1"/>
        <v>100.13000000000001</v>
      </c>
      <c r="BY61" s="18" t="s">
        <v>5134</v>
      </c>
      <c r="BZ61" s="18" t="s">
        <v>193</v>
      </c>
      <c r="CD61" s="18" t="s">
        <v>5127</v>
      </c>
      <c r="CE61" s="18" t="s">
        <v>111</v>
      </c>
      <c r="CF61" s="18" t="s">
        <v>5135</v>
      </c>
      <c r="CG61" s="18" t="s">
        <v>5512</v>
      </c>
      <c r="CH61" s="18" t="s">
        <v>111</v>
      </c>
      <c r="CI61" s="18" t="s">
        <v>5138</v>
      </c>
      <c r="CJ61" s="18" t="s">
        <v>5196</v>
      </c>
      <c r="CK61" s="18" t="s">
        <v>179</v>
      </c>
      <c r="CL61" s="18">
        <v>1</v>
      </c>
      <c r="CM61" s="18">
        <v>0</v>
      </c>
      <c r="CN61" s="18">
        <v>0</v>
      </c>
      <c r="CO61" s="18">
        <v>1</v>
      </c>
      <c r="CP61" s="18">
        <v>1</v>
      </c>
      <c r="CQ61" s="18">
        <v>0</v>
      </c>
      <c r="CR61" s="18">
        <v>0</v>
      </c>
      <c r="CS61" s="18" t="s">
        <v>5141</v>
      </c>
      <c r="CT61" s="18">
        <v>0</v>
      </c>
      <c r="CU61" s="18">
        <v>0</v>
      </c>
      <c r="CV61" s="18">
        <v>0</v>
      </c>
      <c r="CX61" s="18">
        <v>1</v>
      </c>
      <c r="CY61" s="18">
        <v>1</v>
      </c>
      <c r="CZ61" s="18">
        <v>0</v>
      </c>
      <c r="DA61" s="18">
        <v>0</v>
      </c>
      <c r="DB61" s="18">
        <v>1</v>
      </c>
      <c r="DC61" s="18">
        <v>0</v>
      </c>
      <c r="DD61" s="18">
        <v>1</v>
      </c>
      <c r="DE61" s="18">
        <v>0</v>
      </c>
      <c r="DF61" s="18">
        <v>0</v>
      </c>
      <c r="DG61" s="18">
        <v>1</v>
      </c>
      <c r="DH61" s="18">
        <v>0</v>
      </c>
      <c r="DI61" s="18">
        <v>1</v>
      </c>
      <c r="DK61" s="18">
        <v>0</v>
      </c>
      <c r="DL61" s="18">
        <v>0</v>
      </c>
      <c r="DM61" s="18" t="s">
        <v>5127</v>
      </c>
      <c r="DN61" s="18" t="s">
        <v>5258</v>
      </c>
      <c r="DO61" s="18" t="s">
        <v>5315</v>
      </c>
      <c r="DP61" s="18" t="s">
        <v>113</v>
      </c>
      <c r="DS61" s="18">
        <v>0</v>
      </c>
      <c r="DT61" s="18">
        <v>0</v>
      </c>
      <c r="DU61" s="18">
        <v>1</v>
      </c>
      <c r="DV61" s="18" t="s">
        <v>5513</v>
      </c>
      <c r="DX61" s="18" t="s">
        <v>5145</v>
      </c>
      <c r="DY61" s="18" t="s">
        <v>106</v>
      </c>
      <c r="DZ61" s="18" t="s">
        <v>113</v>
      </c>
      <c r="EA61" s="18" t="s">
        <v>5453</v>
      </c>
      <c r="EB61" s="18" t="s">
        <v>2058</v>
      </c>
      <c r="EC61" s="18" t="s">
        <v>113</v>
      </c>
      <c r="ED61" s="18" t="s">
        <v>5176</v>
      </c>
      <c r="EE61" s="18" t="s">
        <v>113</v>
      </c>
      <c r="EG61" s="18" t="s">
        <v>5148</v>
      </c>
      <c r="EH61" s="18" t="s">
        <v>5203</v>
      </c>
      <c r="EI61" s="18" t="s">
        <v>5204</v>
      </c>
      <c r="EJ61" s="18" t="s">
        <v>5387</v>
      </c>
      <c r="EK61" s="18" t="s">
        <v>113</v>
      </c>
      <c r="EM61" s="18" t="s">
        <v>5514</v>
      </c>
      <c r="EN61" s="18" t="s">
        <v>113</v>
      </c>
      <c r="EO61" s="18" t="s">
        <v>113</v>
      </c>
      <c r="EP61" s="18" t="s">
        <v>113</v>
      </c>
      <c r="EQ61" s="18" t="s">
        <v>113</v>
      </c>
      <c r="ER61" s="18" t="s">
        <v>5206</v>
      </c>
      <c r="ES61" s="18" t="s">
        <v>5153</v>
      </c>
      <c r="ET61" s="18" t="s">
        <v>5154</v>
      </c>
      <c r="EU61" s="18" t="s">
        <v>5155</v>
      </c>
      <c r="EV61" s="18" t="s">
        <v>5515</v>
      </c>
      <c r="EX61" s="18" t="s">
        <v>5158</v>
      </c>
      <c r="EY61" s="18" t="s">
        <v>5229</v>
      </c>
      <c r="EZ61" s="18" t="s">
        <v>5308</v>
      </c>
    </row>
    <row r="62" spans="1:158" ht="10.5" customHeight="1" x14ac:dyDescent="0.2">
      <c r="A62" s="16">
        <v>41</v>
      </c>
      <c r="B62" s="16" t="s">
        <v>3561</v>
      </c>
      <c r="C62" s="16" t="s">
        <v>3562</v>
      </c>
      <c r="D62" s="16">
        <v>15979</v>
      </c>
      <c r="E62" s="16" t="s">
        <v>6658</v>
      </c>
      <c r="H62" s="15" t="s">
        <v>6661</v>
      </c>
      <c r="AT62" s="17">
        <f>(365*D62*0.7)/1000</f>
        <v>4082.6344999999997</v>
      </c>
      <c r="AU62" s="17">
        <f t="shared" si="0"/>
        <v>0</v>
      </c>
      <c r="BW62" s="15">
        <f t="shared" si="1"/>
        <v>0</v>
      </c>
    </row>
    <row r="63" spans="1:158" ht="10.5" customHeight="1" x14ac:dyDescent="0.2">
      <c r="A63" s="16">
        <v>41</v>
      </c>
      <c r="B63" s="16" t="s">
        <v>978</v>
      </c>
      <c r="C63" s="16" t="s">
        <v>977</v>
      </c>
      <c r="D63" s="16">
        <v>3973</v>
      </c>
      <c r="E63" s="16" t="s">
        <v>6656</v>
      </c>
      <c r="F63" s="18" t="s">
        <v>977</v>
      </c>
      <c r="G63" s="18" t="s">
        <v>106</v>
      </c>
      <c r="H63" s="15" t="s">
        <v>5127</v>
      </c>
      <c r="I63" s="18">
        <v>6</v>
      </c>
      <c r="J63" s="18">
        <v>4</v>
      </c>
      <c r="K63" s="18">
        <v>2</v>
      </c>
      <c r="L63" s="18">
        <v>0</v>
      </c>
      <c r="M63" s="18" t="s">
        <v>5121</v>
      </c>
      <c r="N63" s="18" t="s">
        <v>5516</v>
      </c>
      <c r="O63" s="18">
        <v>46374</v>
      </c>
      <c r="T63" s="18" t="s">
        <v>111</v>
      </c>
      <c r="U63" s="18" t="s">
        <v>5250</v>
      </c>
      <c r="V63" s="18" t="s">
        <v>113</v>
      </c>
      <c r="W63" s="18" t="s">
        <v>5211</v>
      </c>
      <c r="Y63" s="18" t="s">
        <v>5517</v>
      </c>
      <c r="Z63" s="18" t="s">
        <v>113</v>
      </c>
      <c r="AA63" s="18" t="s">
        <v>5163</v>
      </c>
      <c r="AC63" s="18" t="s">
        <v>5127</v>
      </c>
      <c r="AD63" s="18" t="s">
        <v>5127</v>
      </c>
      <c r="AE63" s="18" t="s">
        <v>5127</v>
      </c>
      <c r="AF63" s="18" t="s">
        <v>5127</v>
      </c>
      <c r="AG63" s="18" t="s">
        <v>5127</v>
      </c>
      <c r="AH63" s="18" t="s">
        <v>5127</v>
      </c>
      <c r="AI63" s="18">
        <v>0</v>
      </c>
      <c r="AK63" s="18" t="s">
        <v>5128</v>
      </c>
      <c r="AN63" s="18">
        <v>5</v>
      </c>
      <c r="AO63" s="18" t="s">
        <v>5391</v>
      </c>
      <c r="AP63" s="18" t="s">
        <v>5518</v>
      </c>
      <c r="AQ63" s="18" t="s">
        <v>5252</v>
      </c>
      <c r="AR63" s="18" t="s">
        <v>5132</v>
      </c>
      <c r="AT63" s="17">
        <f>(365*D63*0.7)/1000</f>
        <v>1015.1014999999999</v>
      </c>
      <c r="AU63" s="17">
        <f t="shared" si="0"/>
        <v>6</v>
      </c>
      <c r="AV63" s="18">
        <v>4</v>
      </c>
      <c r="AW63" s="18">
        <v>2</v>
      </c>
      <c r="AY63" s="18" t="s">
        <v>164</v>
      </c>
      <c r="BG63" s="18" t="s">
        <v>164</v>
      </c>
      <c r="BQ63" s="18">
        <v>2</v>
      </c>
      <c r="BR63" s="18">
        <v>2</v>
      </c>
      <c r="BS63" s="18">
        <v>2</v>
      </c>
      <c r="BT63" s="18">
        <v>2</v>
      </c>
      <c r="BU63" s="18">
        <v>2</v>
      </c>
      <c r="BV63" s="18">
        <f>SUM(BQ63:BU63)</f>
        <v>10</v>
      </c>
      <c r="BW63" s="15">
        <f t="shared" si="1"/>
        <v>10</v>
      </c>
      <c r="BY63" s="18" t="s">
        <v>5134</v>
      </c>
      <c r="BZ63" s="18" t="s">
        <v>193</v>
      </c>
      <c r="CD63" s="18" t="s">
        <v>5127</v>
      </c>
      <c r="CE63" s="18" t="s">
        <v>5127</v>
      </c>
      <c r="CF63" s="18" t="s">
        <v>5135</v>
      </c>
      <c r="CG63" s="18" t="s">
        <v>5519</v>
      </c>
      <c r="CH63" s="18" t="s">
        <v>111</v>
      </c>
      <c r="CI63" s="18" t="s">
        <v>5195</v>
      </c>
      <c r="CJ63" s="18" t="s">
        <v>5139</v>
      </c>
      <c r="CK63" s="18" t="s">
        <v>179</v>
      </c>
      <c r="CL63" s="18">
        <v>0</v>
      </c>
      <c r="CM63" s="18">
        <v>0</v>
      </c>
      <c r="CN63" s="18">
        <v>0</v>
      </c>
      <c r="CO63" s="18">
        <v>0</v>
      </c>
      <c r="CP63" s="18">
        <v>0</v>
      </c>
      <c r="CQ63" s="18">
        <v>0</v>
      </c>
      <c r="CR63" s="18">
        <v>0</v>
      </c>
      <c r="CS63" s="18" t="s">
        <v>5141</v>
      </c>
      <c r="CT63" s="18">
        <v>0</v>
      </c>
      <c r="CU63" s="18">
        <v>0</v>
      </c>
      <c r="CV63" s="18">
        <v>0</v>
      </c>
      <c r="CX63" s="18">
        <v>1</v>
      </c>
      <c r="CY63" s="18">
        <v>1</v>
      </c>
      <c r="CZ63" s="18">
        <v>1</v>
      </c>
      <c r="DA63" s="18">
        <v>1</v>
      </c>
      <c r="DB63" s="18">
        <v>1</v>
      </c>
      <c r="DC63" s="18">
        <v>1</v>
      </c>
      <c r="DD63" s="18">
        <v>1</v>
      </c>
      <c r="DE63" s="18">
        <v>1</v>
      </c>
      <c r="DF63" s="18" t="s">
        <v>5141</v>
      </c>
      <c r="DG63" s="18">
        <v>1</v>
      </c>
      <c r="DH63" s="18">
        <v>1</v>
      </c>
      <c r="DI63" s="18">
        <v>1</v>
      </c>
      <c r="DK63" s="18">
        <v>0</v>
      </c>
      <c r="DL63" s="18">
        <v>1</v>
      </c>
      <c r="DM63" s="18" t="s">
        <v>5127</v>
      </c>
      <c r="DN63" s="18" t="s">
        <v>5172</v>
      </c>
      <c r="DO63" s="18" t="s">
        <v>5259</v>
      </c>
      <c r="DP63" s="18" t="s">
        <v>113</v>
      </c>
      <c r="DS63" s="18">
        <v>0</v>
      </c>
      <c r="DT63" s="18">
        <v>0</v>
      </c>
      <c r="DU63" s="18">
        <v>2</v>
      </c>
      <c r="DV63" s="18" t="s">
        <v>5520</v>
      </c>
      <c r="DX63" s="18" t="s">
        <v>5222</v>
      </c>
      <c r="DY63" s="18" t="s">
        <v>113</v>
      </c>
      <c r="DZ63" s="18" t="s">
        <v>113</v>
      </c>
      <c r="EA63" s="18" t="s">
        <v>5506</v>
      </c>
      <c r="EB63" s="18">
        <v>3</v>
      </c>
      <c r="EC63" s="18" t="s">
        <v>106</v>
      </c>
      <c r="ED63" s="18" t="s">
        <v>5147</v>
      </c>
      <c r="EE63" s="18" t="s">
        <v>113</v>
      </c>
      <c r="EF63" s="18" t="s">
        <v>113</v>
      </c>
      <c r="EG63" s="18" t="s">
        <v>5148</v>
      </c>
      <c r="EH63" s="18" t="s">
        <v>5203</v>
      </c>
      <c r="EI63" s="18" t="s">
        <v>5204</v>
      </c>
      <c r="EJ63" s="18" t="s">
        <v>5521</v>
      </c>
      <c r="EN63" s="18" t="s">
        <v>113</v>
      </c>
      <c r="EO63" s="18" t="s">
        <v>113</v>
      </c>
      <c r="EP63" s="18" t="s">
        <v>113</v>
      </c>
      <c r="EX63" s="18" t="s">
        <v>5158</v>
      </c>
      <c r="EY63" s="18" t="s">
        <v>5522</v>
      </c>
      <c r="FA63" s="18" t="s">
        <v>144</v>
      </c>
    </row>
    <row r="64" spans="1:158" ht="10.5" customHeight="1" x14ac:dyDescent="0.2">
      <c r="A64" s="16">
        <v>41</v>
      </c>
      <c r="B64" s="16" t="s">
        <v>994</v>
      </c>
      <c r="C64" s="16" t="s">
        <v>993</v>
      </c>
      <c r="D64" s="16">
        <v>49971</v>
      </c>
      <c r="E64" s="16" t="s">
        <v>6658</v>
      </c>
      <c r="F64" s="18" t="s">
        <v>993</v>
      </c>
      <c r="G64" s="18" t="s">
        <v>106</v>
      </c>
      <c r="H64" s="15" t="s">
        <v>5127</v>
      </c>
      <c r="I64" s="18">
        <v>15</v>
      </c>
      <c r="J64" s="18">
        <v>10</v>
      </c>
      <c r="K64" s="18">
        <v>5</v>
      </c>
      <c r="L64" s="18">
        <v>0</v>
      </c>
      <c r="M64" s="18" t="s">
        <v>5183</v>
      </c>
      <c r="N64" s="18" t="s">
        <v>5523</v>
      </c>
      <c r="O64" s="18">
        <v>47471</v>
      </c>
      <c r="T64" s="18" t="s">
        <v>111</v>
      </c>
      <c r="U64" s="18" t="s">
        <v>5123</v>
      </c>
      <c r="V64" s="18" t="s">
        <v>113</v>
      </c>
      <c r="W64" s="18" t="s">
        <v>5124</v>
      </c>
      <c r="Y64" s="18" t="s">
        <v>5524</v>
      </c>
      <c r="Z64" s="18" t="s">
        <v>106</v>
      </c>
      <c r="AA64" s="18" t="s">
        <v>5163</v>
      </c>
      <c r="AB64" s="18" t="s">
        <v>179</v>
      </c>
      <c r="AC64" s="18" t="s">
        <v>5127</v>
      </c>
      <c r="AD64" s="18" t="s">
        <v>5127</v>
      </c>
      <c r="AE64" s="18" t="s">
        <v>5127</v>
      </c>
      <c r="AF64" s="18" t="s">
        <v>111</v>
      </c>
      <c r="AG64" s="18" t="s">
        <v>5127</v>
      </c>
      <c r="AH64" s="18" t="s">
        <v>5127</v>
      </c>
      <c r="AI64" s="18">
        <v>1</v>
      </c>
      <c r="AK64" s="18" t="s">
        <v>5279</v>
      </c>
      <c r="AN64" s="18">
        <v>1000</v>
      </c>
      <c r="AO64" s="18" t="s">
        <v>5186</v>
      </c>
      <c r="AP64" s="18" t="s">
        <v>5525</v>
      </c>
      <c r="AQ64" s="18" t="s">
        <v>5252</v>
      </c>
      <c r="AR64" s="18" t="s">
        <v>5168</v>
      </c>
      <c r="AT64" s="17">
        <f>(365*D64*0.7)/1000</f>
        <v>12767.5905</v>
      </c>
      <c r="AU64" s="17">
        <f t="shared" si="0"/>
        <v>600</v>
      </c>
      <c r="AV64" s="18">
        <v>600</v>
      </c>
      <c r="AW64" s="18">
        <v>0</v>
      </c>
      <c r="AY64" s="18" t="s">
        <v>5526</v>
      </c>
      <c r="BD64" s="18">
        <v>0</v>
      </c>
      <c r="BE64" s="18">
        <v>0</v>
      </c>
      <c r="BG64" s="18" t="s">
        <v>5527</v>
      </c>
      <c r="BH64" s="18">
        <v>0</v>
      </c>
      <c r="BQ64" s="18">
        <v>310</v>
      </c>
      <c r="BR64" s="18">
        <v>70</v>
      </c>
      <c r="BS64" s="18">
        <v>60</v>
      </c>
      <c r="BT64" s="18">
        <v>90</v>
      </c>
      <c r="BU64" s="18">
        <v>0</v>
      </c>
      <c r="BV64" s="18">
        <v>530</v>
      </c>
      <c r="BW64" s="15">
        <f t="shared" si="1"/>
        <v>530</v>
      </c>
      <c r="BY64" s="18" t="s">
        <v>5134</v>
      </c>
      <c r="BZ64" s="18" t="s">
        <v>5528</v>
      </c>
      <c r="CD64" s="18" t="s">
        <v>5127</v>
      </c>
      <c r="CE64" s="18" t="s">
        <v>5127</v>
      </c>
      <c r="CF64" s="18" t="s">
        <v>5529</v>
      </c>
      <c r="CG64" s="18" t="s">
        <v>5427</v>
      </c>
      <c r="CH64" s="18" t="s">
        <v>111</v>
      </c>
      <c r="CI64" s="18" t="s">
        <v>5195</v>
      </c>
      <c r="CJ64" s="18" t="s">
        <v>5196</v>
      </c>
      <c r="CK64" s="18" t="s">
        <v>5197</v>
      </c>
      <c r="CL64" s="18">
        <v>1</v>
      </c>
      <c r="CM64" s="18">
        <v>0</v>
      </c>
      <c r="CN64" s="18">
        <v>1</v>
      </c>
      <c r="CO64" s="18">
        <v>1</v>
      </c>
      <c r="CP64" s="18">
        <v>0</v>
      </c>
      <c r="CQ64" s="18">
        <v>0</v>
      </c>
      <c r="CR64" s="18">
        <v>0</v>
      </c>
      <c r="CS64" s="18" t="s">
        <v>5141</v>
      </c>
      <c r="CT64" s="18">
        <v>0</v>
      </c>
      <c r="CU64" s="18">
        <v>0</v>
      </c>
      <c r="CV64" s="18">
        <v>0</v>
      </c>
      <c r="CX64" s="18">
        <v>0</v>
      </c>
      <c r="CY64" s="18">
        <v>1</v>
      </c>
      <c r="CZ64" s="18">
        <v>0</v>
      </c>
      <c r="DA64" s="18">
        <v>0</v>
      </c>
      <c r="DB64" s="18">
        <v>0</v>
      </c>
      <c r="DC64" s="18">
        <v>1</v>
      </c>
      <c r="DD64" s="18">
        <v>1</v>
      </c>
      <c r="DE64" s="18">
        <v>1</v>
      </c>
      <c r="DF64" s="18">
        <v>1</v>
      </c>
      <c r="DG64" s="18">
        <v>1</v>
      </c>
      <c r="DH64" s="18">
        <v>1</v>
      </c>
      <c r="DI64" s="18">
        <v>1</v>
      </c>
      <c r="DK64" s="18">
        <v>0</v>
      </c>
      <c r="DL64" s="18">
        <v>1</v>
      </c>
      <c r="DM64" s="18" t="s">
        <v>5127</v>
      </c>
      <c r="DN64" s="18" t="s">
        <v>5299</v>
      </c>
      <c r="DO64" s="18" t="s">
        <v>5259</v>
      </c>
      <c r="DP64" s="18" t="s">
        <v>113</v>
      </c>
      <c r="DQ64" s="18" t="s">
        <v>5168</v>
      </c>
      <c r="DS64" s="18">
        <v>0</v>
      </c>
      <c r="DT64" s="18">
        <v>1</v>
      </c>
      <c r="DU64" s="18">
        <v>1</v>
      </c>
      <c r="DV64" s="18" t="s">
        <v>5144</v>
      </c>
      <c r="DX64" s="18" t="s">
        <v>5222</v>
      </c>
      <c r="DY64" s="18" t="s">
        <v>106</v>
      </c>
      <c r="DZ64" s="18" t="s">
        <v>106</v>
      </c>
      <c r="EA64" s="18" t="s">
        <v>5146</v>
      </c>
      <c r="EB64" s="18">
        <v>600</v>
      </c>
      <c r="EC64" s="18" t="s">
        <v>113</v>
      </c>
      <c r="ED64" s="18" t="s">
        <v>5176</v>
      </c>
      <c r="EE64" s="18" t="s">
        <v>113</v>
      </c>
      <c r="EF64" s="18" t="s">
        <v>113</v>
      </c>
      <c r="EG64" s="18" t="s">
        <v>5148</v>
      </c>
      <c r="EH64" s="18" t="s">
        <v>5203</v>
      </c>
      <c r="EI64" s="18" t="s">
        <v>5204</v>
      </c>
      <c r="EJ64" s="18" t="s">
        <v>5530</v>
      </c>
      <c r="EK64" s="18" t="s">
        <v>113</v>
      </c>
      <c r="EN64" s="18" t="s">
        <v>113</v>
      </c>
      <c r="EO64" s="18" t="s">
        <v>113</v>
      </c>
      <c r="EP64" s="18" t="s">
        <v>113</v>
      </c>
      <c r="EQ64" s="18" t="s">
        <v>113</v>
      </c>
      <c r="ER64" s="18" t="s">
        <v>5206</v>
      </c>
      <c r="ES64" s="18" t="s">
        <v>5153</v>
      </c>
      <c r="ET64" s="18" t="s">
        <v>5154</v>
      </c>
      <c r="EX64" s="18" t="s">
        <v>5158</v>
      </c>
      <c r="EY64" s="18" t="s">
        <v>5248</v>
      </c>
      <c r="EZ64" s="18" t="s">
        <v>5308</v>
      </c>
      <c r="FA64" s="18" t="s">
        <v>144</v>
      </c>
      <c r="FB64" s="18" t="s">
        <v>5161</v>
      </c>
    </row>
    <row r="65" spans="1:158" ht="10.5" customHeight="1" x14ac:dyDescent="0.2">
      <c r="A65" s="16">
        <v>41</v>
      </c>
      <c r="B65" s="16" t="s">
        <v>1014</v>
      </c>
      <c r="C65" s="16" t="s">
        <v>1013</v>
      </c>
      <c r="D65" s="16">
        <v>4032</v>
      </c>
      <c r="E65" s="16" t="s">
        <v>6656</v>
      </c>
      <c r="F65" s="18" t="s">
        <v>1013</v>
      </c>
      <c r="G65" s="18" t="s">
        <v>106</v>
      </c>
      <c r="H65" s="15" t="s">
        <v>5127</v>
      </c>
      <c r="I65" s="18">
        <v>7</v>
      </c>
      <c r="J65" s="18">
        <v>0</v>
      </c>
      <c r="K65" s="18">
        <v>7</v>
      </c>
      <c r="L65" s="18">
        <v>0</v>
      </c>
      <c r="M65" s="18" t="s">
        <v>5230</v>
      </c>
      <c r="N65" s="18" t="s">
        <v>5531</v>
      </c>
      <c r="O65" s="18">
        <v>47305</v>
      </c>
      <c r="T65" s="18" t="s">
        <v>5532</v>
      </c>
      <c r="U65" s="18" t="s">
        <v>5185</v>
      </c>
      <c r="V65" s="18" t="s">
        <v>106</v>
      </c>
      <c r="W65" s="18" t="s">
        <v>5124</v>
      </c>
      <c r="Y65" s="18" t="s">
        <v>5162</v>
      </c>
      <c r="Z65" s="18" t="s">
        <v>106</v>
      </c>
      <c r="AA65" s="18" t="s">
        <v>5163</v>
      </c>
      <c r="AB65" s="18" t="s">
        <v>179</v>
      </c>
      <c r="AC65" s="18" t="s">
        <v>5127</v>
      </c>
      <c r="AD65" s="18" t="s">
        <v>5127</v>
      </c>
      <c r="AE65" s="18" t="s">
        <v>5127</v>
      </c>
      <c r="AF65" s="18" t="s">
        <v>5127</v>
      </c>
      <c r="AG65" s="18" t="s">
        <v>5127</v>
      </c>
      <c r="AH65" s="18" t="s">
        <v>5127</v>
      </c>
      <c r="AI65" s="18">
        <v>1</v>
      </c>
      <c r="AK65" s="18" t="s">
        <v>5164</v>
      </c>
      <c r="AN65" s="18">
        <v>168</v>
      </c>
      <c r="AO65" s="18" t="s">
        <v>5186</v>
      </c>
      <c r="AP65" s="18" t="s">
        <v>5533</v>
      </c>
      <c r="AQ65" s="18" t="s">
        <v>5269</v>
      </c>
      <c r="AR65" s="18" t="s">
        <v>5168</v>
      </c>
      <c r="AT65" s="17">
        <f>(365*D65*0.7)/1000</f>
        <v>1030.1759999999999</v>
      </c>
      <c r="AU65" s="17">
        <f t="shared" si="0"/>
        <v>41</v>
      </c>
      <c r="AV65" s="18">
        <v>41</v>
      </c>
      <c r="AW65" s="18">
        <v>0</v>
      </c>
      <c r="AY65" s="18" t="s">
        <v>5534</v>
      </c>
      <c r="BB65" s="18">
        <v>500</v>
      </c>
      <c r="BD65" s="18">
        <v>6</v>
      </c>
      <c r="BE65" s="18">
        <v>1200</v>
      </c>
      <c r="BG65" s="18" t="s">
        <v>5369</v>
      </c>
      <c r="BH65" s="18">
        <f>100/1000</f>
        <v>0.1</v>
      </c>
      <c r="BQ65" s="18">
        <v>46</v>
      </c>
      <c r="BR65" s="18">
        <v>39</v>
      </c>
      <c r="BS65" s="18">
        <v>35</v>
      </c>
      <c r="BT65" s="18">
        <v>21</v>
      </c>
      <c r="BU65" s="18">
        <v>6</v>
      </c>
      <c r="BV65" s="18">
        <v>147</v>
      </c>
      <c r="BW65" s="15">
        <f t="shared" si="1"/>
        <v>147</v>
      </c>
      <c r="BY65" s="18" t="s">
        <v>5134</v>
      </c>
      <c r="BZ65" s="18" t="s">
        <v>5312</v>
      </c>
      <c r="CD65" s="18" t="s">
        <v>5127</v>
      </c>
      <c r="CE65" s="18" t="s">
        <v>5127</v>
      </c>
      <c r="CF65" s="18" t="s">
        <v>5135</v>
      </c>
      <c r="CG65" s="18" t="s">
        <v>5193</v>
      </c>
      <c r="CH65" s="18" t="s">
        <v>5241</v>
      </c>
      <c r="CI65" s="18" t="s">
        <v>5195</v>
      </c>
      <c r="CJ65" s="18" t="s">
        <v>5196</v>
      </c>
      <c r="CK65" s="18" t="s">
        <v>5197</v>
      </c>
      <c r="CL65" s="18">
        <v>2</v>
      </c>
      <c r="CM65" s="18">
        <v>0</v>
      </c>
      <c r="CN65" s="18">
        <v>0</v>
      </c>
      <c r="CO65" s="18">
        <v>1</v>
      </c>
      <c r="CP65" s="18">
        <v>2</v>
      </c>
      <c r="CQ65" s="18">
        <v>1</v>
      </c>
      <c r="CR65" s="18">
        <v>0</v>
      </c>
      <c r="CS65" s="18" t="s">
        <v>5141</v>
      </c>
      <c r="CT65" s="18">
        <v>1</v>
      </c>
      <c r="CU65" s="18">
        <v>1</v>
      </c>
      <c r="CV65" s="18" t="s">
        <v>5141</v>
      </c>
      <c r="CX65" s="18">
        <v>0</v>
      </c>
      <c r="CY65" s="18">
        <v>0</v>
      </c>
      <c r="CZ65" s="18">
        <v>0</v>
      </c>
      <c r="DA65" s="18">
        <v>0</v>
      </c>
      <c r="DB65" s="18">
        <v>0</v>
      </c>
      <c r="DC65" s="18">
        <v>0</v>
      </c>
      <c r="DD65" s="18">
        <v>0</v>
      </c>
      <c r="DE65" s="18" t="s">
        <v>5141</v>
      </c>
      <c r="DF65" s="18">
        <v>0</v>
      </c>
      <c r="DG65" s="18">
        <v>0</v>
      </c>
      <c r="DH65" s="18">
        <v>0</v>
      </c>
      <c r="DI65" s="18">
        <v>0</v>
      </c>
      <c r="DK65" s="18">
        <v>0</v>
      </c>
      <c r="DL65" s="18">
        <v>0</v>
      </c>
      <c r="DM65" s="18" t="s">
        <v>5127</v>
      </c>
      <c r="DN65" s="18" t="s">
        <v>5172</v>
      </c>
      <c r="DO65" s="18" t="s">
        <v>5535</v>
      </c>
      <c r="DP65" s="18" t="s">
        <v>106</v>
      </c>
      <c r="DQ65" s="18" t="s">
        <v>5168</v>
      </c>
      <c r="DS65" s="18">
        <v>0</v>
      </c>
      <c r="DT65" s="18">
        <v>1</v>
      </c>
      <c r="DU65" s="18">
        <v>0</v>
      </c>
      <c r="DV65" s="18" t="s">
        <v>5260</v>
      </c>
      <c r="DX65" s="18" t="s">
        <v>5222</v>
      </c>
      <c r="DY65" s="18" t="s">
        <v>106</v>
      </c>
      <c r="DZ65" s="18" t="s">
        <v>106</v>
      </c>
      <c r="EA65" s="18" t="s">
        <v>5337</v>
      </c>
      <c r="EB65" s="18">
        <v>168</v>
      </c>
      <c r="EC65" s="18" t="s">
        <v>106</v>
      </c>
      <c r="ED65" s="18" t="s">
        <v>5147</v>
      </c>
      <c r="EE65" s="18" t="s">
        <v>106</v>
      </c>
      <c r="EF65" s="18" t="s">
        <v>106</v>
      </c>
      <c r="EG65" s="18" t="s">
        <v>5326</v>
      </c>
      <c r="EH65" s="18" t="s">
        <v>5203</v>
      </c>
      <c r="EI65" s="18" t="s">
        <v>5204</v>
      </c>
      <c r="EJ65" s="18" t="s">
        <v>5387</v>
      </c>
      <c r="EK65" s="18" t="s">
        <v>113</v>
      </c>
      <c r="EL65" s="18" t="s">
        <v>236</v>
      </c>
      <c r="EM65" s="18" t="s">
        <v>5536</v>
      </c>
      <c r="EN65" s="18" t="s">
        <v>113</v>
      </c>
      <c r="EO65" s="18" t="s">
        <v>113</v>
      </c>
      <c r="EP65" s="18" t="s">
        <v>113</v>
      </c>
      <c r="EQ65" s="18" t="s">
        <v>113</v>
      </c>
      <c r="ER65" s="18" t="s">
        <v>5152</v>
      </c>
      <c r="ES65" s="18" t="s">
        <v>5153</v>
      </c>
      <c r="ET65" s="18" t="s">
        <v>5154</v>
      </c>
      <c r="EU65" s="18" t="s">
        <v>5318</v>
      </c>
      <c r="EV65" s="18" t="s">
        <v>5537</v>
      </c>
      <c r="EW65" s="18" t="s">
        <v>5538</v>
      </c>
      <c r="EX65" s="18" t="s">
        <v>5158</v>
      </c>
      <c r="EY65" s="18" t="s">
        <v>5522</v>
      </c>
      <c r="EZ65" s="18" t="s">
        <v>5160</v>
      </c>
      <c r="FA65" s="18" t="s">
        <v>144</v>
      </c>
      <c r="FB65" s="18" t="s">
        <v>5161</v>
      </c>
    </row>
    <row r="66" spans="1:158" ht="10.5" customHeight="1" x14ac:dyDescent="0.2">
      <c r="A66" s="16">
        <v>41</v>
      </c>
      <c r="B66" s="16" t="s">
        <v>1036</v>
      </c>
      <c r="C66" s="16" t="s">
        <v>1035</v>
      </c>
      <c r="D66" s="16">
        <v>7666</v>
      </c>
      <c r="E66" s="16" t="s">
        <v>6656</v>
      </c>
      <c r="F66" s="18" t="s">
        <v>1035</v>
      </c>
      <c r="G66" s="18" t="s">
        <v>106</v>
      </c>
      <c r="H66" s="15" t="s">
        <v>5127</v>
      </c>
      <c r="I66" s="18" t="s">
        <v>387</v>
      </c>
      <c r="J66" s="18" t="s">
        <v>692</v>
      </c>
      <c r="K66" s="18" t="s">
        <v>4819</v>
      </c>
      <c r="L66" s="18">
        <v>0</v>
      </c>
      <c r="M66" s="18" t="s">
        <v>5121</v>
      </c>
      <c r="N66" s="18" t="s">
        <v>5539</v>
      </c>
      <c r="O66" s="18">
        <v>45969</v>
      </c>
      <c r="T66" s="18" t="s">
        <v>111</v>
      </c>
      <c r="U66" s="18" t="s">
        <v>5250</v>
      </c>
      <c r="V66" s="18" t="s">
        <v>113</v>
      </c>
      <c r="W66" s="18" t="s">
        <v>5211</v>
      </c>
      <c r="Y66" s="18" t="s">
        <v>5540</v>
      </c>
      <c r="Z66" s="18" t="s">
        <v>113</v>
      </c>
      <c r="AA66" s="18" t="s">
        <v>5163</v>
      </c>
      <c r="AB66" s="18" t="s">
        <v>179</v>
      </c>
      <c r="AC66" s="18" t="s">
        <v>111</v>
      </c>
      <c r="AD66" s="18" t="s">
        <v>5127</v>
      </c>
      <c r="AE66" s="18" t="s">
        <v>5127</v>
      </c>
      <c r="AF66" s="18" t="s">
        <v>5127</v>
      </c>
      <c r="AG66" s="18" t="s">
        <v>5127</v>
      </c>
      <c r="AH66" s="18" t="s">
        <v>5127</v>
      </c>
      <c r="AI66" s="18">
        <v>1</v>
      </c>
      <c r="AK66" s="18" t="s">
        <v>5509</v>
      </c>
      <c r="AN66" s="18">
        <v>200</v>
      </c>
      <c r="AO66" s="18" t="s">
        <v>5294</v>
      </c>
      <c r="AP66" s="18" t="s">
        <v>5541</v>
      </c>
      <c r="AQ66" s="18" t="s">
        <v>5442</v>
      </c>
      <c r="AR66" s="18" t="s">
        <v>5168</v>
      </c>
      <c r="AT66" s="17">
        <f>(365*D66*0.7)/1000</f>
        <v>1958.6629999999998</v>
      </c>
      <c r="AU66" s="17">
        <f t="shared" si="0"/>
        <v>20</v>
      </c>
      <c r="AV66" s="18">
        <v>20</v>
      </c>
      <c r="AW66" s="18">
        <v>0</v>
      </c>
      <c r="AY66" s="18" t="s">
        <v>164</v>
      </c>
      <c r="BG66" s="18" t="s">
        <v>164</v>
      </c>
      <c r="BQ66" s="18">
        <v>20</v>
      </c>
      <c r="BR66" s="18">
        <v>40</v>
      </c>
      <c r="BS66" s="18">
        <v>80</v>
      </c>
      <c r="BT66" s="18">
        <v>20</v>
      </c>
      <c r="BU66" s="18">
        <v>20</v>
      </c>
      <c r="BV66" s="18">
        <v>180</v>
      </c>
      <c r="BW66" s="15">
        <f t="shared" si="1"/>
        <v>180</v>
      </c>
      <c r="BY66" s="18" t="s">
        <v>5134</v>
      </c>
      <c r="BZ66" s="18" t="s">
        <v>193</v>
      </c>
      <c r="CD66" s="18" t="s">
        <v>5127</v>
      </c>
      <c r="CE66" s="18" t="s">
        <v>111</v>
      </c>
      <c r="CF66" s="18" t="s">
        <v>5135</v>
      </c>
      <c r="CG66" s="18" t="s">
        <v>5542</v>
      </c>
      <c r="CH66" s="18" t="s">
        <v>5241</v>
      </c>
      <c r="CI66" s="18" t="s">
        <v>111</v>
      </c>
      <c r="CJ66" s="18" t="s">
        <v>5139</v>
      </c>
      <c r="CK66" s="18" t="s">
        <v>179</v>
      </c>
      <c r="CL66" s="18">
        <v>1</v>
      </c>
      <c r="CM66" s="18">
        <v>0</v>
      </c>
      <c r="CN66" s="18">
        <v>0</v>
      </c>
      <c r="CO66" s="18">
        <v>1</v>
      </c>
      <c r="CP66" s="18">
        <v>0</v>
      </c>
      <c r="CQ66" s="18">
        <v>0</v>
      </c>
      <c r="CR66" s="18">
        <v>0</v>
      </c>
      <c r="CS66" s="18" t="s">
        <v>5141</v>
      </c>
      <c r="CT66" s="18">
        <v>0</v>
      </c>
      <c r="CU66" s="18">
        <v>0</v>
      </c>
      <c r="CV66" s="18">
        <v>0</v>
      </c>
      <c r="CX66" s="18">
        <v>1</v>
      </c>
      <c r="CY66" s="18">
        <v>1</v>
      </c>
      <c r="CZ66" s="18">
        <v>0</v>
      </c>
      <c r="DA66" s="18">
        <v>1</v>
      </c>
      <c r="DB66" s="18">
        <v>1</v>
      </c>
      <c r="DC66" s="18">
        <v>1</v>
      </c>
      <c r="DD66" s="18">
        <v>1</v>
      </c>
      <c r="DE66" s="18">
        <v>1</v>
      </c>
      <c r="DF66" s="18" t="s">
        <v>5141</v>
      </c>
      <c r="DG66" s="18">
        <v>1</v>
      </c>
      <c r="DH66" s="18">
        <v>1</v>
      </c>
      <c r="DI66" s="18">
        <v>1</v>
      </c>
      <c r="DK66" s="18">
        <v>0</v>
      </c>
      <c r="DL66" s="18">
        <v>1</v>
      </c>
      <c r="DM66" s="18" t="s">
        <v>5127</v>
      </c>
      <c r="DN66" s="18" t="s">
        <v>5172</v>
      </c>
      <c r="DO66" s="18" t="s">
        <v>5143</v>
      </c>
      <c r="DP66" s="18" t="s">
        <v>113</v>
      </c>
      <c r="DS66" s="18">
        <v>0</v>
      </c>
      <c r="DT66" s="18">
        <v>0</v>
      </c>
      <c r="DU66" s="18">
        <v>1</v>
      </c>
      <c r="DV66" s="18" t="s">
        <v>5403</v>
      </c>
      <c r="DX66" s="18" t="s">
        <v>5222</v>
      </c>
      <c r="DY66" s="18" t="s">
        <v>106</v>
      </c>
      <c r="DZ66" s="18" t="s">
        <v>113</v>
      </c>
      <c r="EA66" s="18" t="s">
        <v>5146</v>
      </c>
      <c r="EB66" s="18">
        <v>180</v>
      </c>
      <c r="EC66" s="18" t="s">
        <v>106</v>
      </c>
      <c r="ED66" s="18" t="s">
        <v>5176</v>
      </c>
      <c r="EE66" s="18" t="s">
        <v>106</v>
      </c>
      <c r="EF66" s="18" t="s">
        <v>113</v>
      </c>
      <c r="EG66" s="18" t="s">
        <v>5148</v>
      </c>
      <c r="EH66" s="18" t="s">
        <v>5203</v>
      </c>
      <c r="EI66" s="18" t="s">
        <v>5150</v>
      </c>
      <c r="EJ66" s="18" t="s">
        <v>5521</v>
      </c>
      <c r="EN66" s="18" t="s">
        <v>113</v>
      </c>
      <c r="EO66" s="18" t="s">
        <v>113</v>
      </c>
      <c r="EP66" s="18" t="s">
        <v>113</v>
      </c>
      <c r="EQ66" s="18" t="s">
        <v>113</v>
      </c>
      <c r="ER66" s="18" t="s">
        <v>5152</v>
      </c>
      <c r="ES66" s="18" t="s">
        <v>5153</v>
      </c>
      <c r="ET66" s="18" t="s">
        <v>5154</v>
      </c>
      <c r="EU66" s="18" t="s">
        <v>5318</v>
      </c>
      <c r="EV66" s="18" t="s">
        <v>5543</v>
      </c>
      <c r="EW66" s="18" t="s">
        <v>5544</v>
      </c>
      <c r="EX66" s="18" t="s">
        <v>5158</v>
      </c>
      <c r="EY66" s="18" t="s">
        <v>5181</v>
      </c>
      <c r="EZ66" s="18" t="s">
        <v>5160</v>
      </c>
      <c r="FA66" s="18" t="s">
        <v>144</v>
      </c>
      <c r="FB66" s="18" t="s">
        <v>5161</v>
      </c>
    </row>
    <row r="67" spans="1:158" ht="10.5" customHeight="1" x14ac:dyDescent="0.2">
      <c r="A67" s="16">
        <v>41</v>
      </c>
      <c r="B67" s="16" t="s">
        <v>1047</v>
      </c>
      <c r="C67" s="16" t="s">
        <v>1046</v>
      </c>
      <c r="D67" s="16">
        <v>142695</v>
      </c>
      <c r="E67" s="16" t="s">
        <v>6657</v>
      </c>
      <c r="F67" s="18" t="s">
        <v>1046</v>
      </c>
      <c r="G67" s="18" t="s">
        <v>106</v>
      </c>
      <c r="H67" s="15" t="s">
        <v>5127</v>
      </c>
      <c r="I67" s="18">
        <v>15</v>
      </c>
      <c r="J67" s="18">
        <v>14</v>
      </c>
      <c r="K67" s="18">
        <v>10</v>
      </c>
      <c r="M67" s="18" t="s">
        <v>5121</v>
      </c>
      <c r="N67" s="18" t="s">
        <v>5545</v>
      </c>
      <c r="O67" s="18">
        <v>47834</v>
      </c>
      <c r="T67" s="18" t="s">
        <v>5546</v>
      </c>
      <c r="U67" s="18" t="s">
        <v>5185</v>
      </c>
      <c r="V67" s="18" t="s">
        <v>106</v>
      </c>
      <c r="W67" s="18" t="s">
        <v>5211</v>
      </c>
      <c r="Y67" s="18" t="s">
        <v>5232</v>
      </c>
      <c r="Z67" s="18" t="s">
        <v>106</v>
      </c>
      <c r="AA67" s="18" t="s">
        <v>5163</v>
      </c>
      <c r="AB67" s="18" t="s">
        <v>179</v>
      </c>
      <c r="AC67" s="18" t="s">
        <v>5127</v>
      </c>
      <c r="AD67" s="18" t="s">
        <v>5127</v>
      </c>
      <c r="AE67" s="18" t="s">
        <v>5127</v>
      </c>
      <c r="AF67" s="18" t="s">
        <v>5127</v>
      </c>
      <c r="AG67" s="18" t="s">
        <v>5127</v>
      </c>
      <c r="AH67" s="18" t="s">
        <v>5127</v>
      </c>
      <c r="AI67" s="18">
        <v>2</v>
      </c>
      <c r="AK67" s="18" t="s">
        <v>5164</v>
      </c>
      <c r="AN67" s="18">
        <v>0</v>
      </c>
      <c r="AO67" s="18" t="s">
        <v>5186</v>
      </c>
      <c r="AP67" s="18" t="s">
        <v>5456</v>
      </c>
      <c r="AQ67" s="18" t="s">
        <v>5547</v>
      </c>
      <c r="AR67" s="18" t="s">
        <v>5168</v>
      </c>
      <c r="AT67" s="17">
        <f>(365*D67*0.7)/1000</f>
        <v>36458.572500000002</v>
      </c>
      <c r="AU67" s="17">
        <f t="shared" ref="AU67:AU130" si="2">SUM(AV67:AX67)</f>
        <v>195</v>
      </c>
      <c r="AV67" s="18">
        <v>0</v>
      </c>
      <c r="AW67" s="18">
        <v>195</v>
      </c>
      <c r="AY67" s="18" t="s">
        <v>5548</v>
      </c>
      <c r="BG67" s="18" t="s">
        <v>5549</v>
      </c>
      <c r="BQ67" s="18">
        <v>199</v>
      </c>
      <c r="BR67" s="18">
        <v>126</v>
      </c>
      <c r="BS67" s="18">
        <v>42</v>
      </c>
      <c r="BT67" s="18">
        <v>60</v>
      </c>
      <c r="BU67" s="18">
        <v>0</v>
      </c>
      <c r="BV67" s="18">
        <f>SUM(BQ67:BU67)</f>
        <v>427</v>
      </c>
      <c r="BW67" s="15">
        <f t="shared" ref="BW67:BW130" si="3">SUM(BQ67:BU67)</f>
        <v>427</v>
      </c>
      <c r="BY67" s="18" t="s">
        <v>5322</v>
      </c>
      <c r="BZ67" s="18" t="s">
        <v>193</v>
      </c>
      <c r="CD67" s="18" t="s">
        <v>5127</v>
      </c>
      <c r="CE67" s="18" t="s">
        <v>111</v>
      </c>
      <c r="CF67" s="18" t="s">
        <v>5135</v>
      </c>
      <c r="CG67" s="18" t="s">
        <v>5550</v>
      </c>
      <c r="CH67" s="18" t="s">
        <v>5551</v>
      </c>
      <c r="CI67" s="18" t="s">
        <v>5195</v>
      </c>
      <c r="CJ67" s="18" t="s">
        <v>5196</v>
      </c>
      <c r="CK67" s="18" t="s">
        <v>5197</v>
      </c>
      <c r="CL67" s="18">
        <v>2</v>
      </c>
      <c r="CM67" s="18">
        <v>0</v>
      </c>
      <c r="CN67" s="18">
        <v>1</v>
      </c>
      <c r="CO67" s="18">
        <v>1</v>
      </c>
      <c r="CP67" s="18">
        <v>1</v>
      </c>
      <c r="CQ67" s="18">
        <v>1</v>
      </c>
      <c r="CR67" s="18" t="s">
        <v>5141</v>
      </c>
      <c r="CS67" s="18" t="s">
        <v>5141</v>
      </c>
      <c r="CT67" s="18">
        <v>0</v>
      </c>
      <c r="CU67" s="18">
        <v>1</v>
      </c>
      <c r="CV67" s="18">
        <v>0</v>
      </c>
      <c r="CX67" s="18">
        <v>2</v>
      </c>
      <c r="CY67" s="18">
        <v>1</v>
      </c>
      <c r="CZ67" s="18">
        <v>0</v>
      </c>
      <c r="DA67" s="18">
        <v>0</v>
      </c>
      <c r="DB67" s="18">
        <v>0</v>
      </c>
      <c r="DC67" s="18">
        <v>1</v>
      </c>
      <c r="DD67" s="18">
        <v>0</v>
      </c>
      <c r="DE67" s="18">
        <v>0</v>
      </c>
      <c r="DF67" s="18" t="s">
        <v>5141</v>
      </c>
      <c r="DG67" s="18">
        <v>0</v>
      </c>
      <c r="DH67" s="18">
        <v>0</v>
      </c>
      <c r="DI67" s="18" t="s">
        <v>5141</v>
      </c>
      <c r="DK67" s="18">
        <v>0</v>
      </c>
      <c r="DL67" s="18">
        <v>0</v>
      </c>
      <c r="DM67" s="18" t="s">
        <v>5127</v>
      </c>
      <c r="DN67" s="18" t="s">
        <v>5172</v>
      </c>
      <c r="DO67" s="18" t="s">
        <v>5173</v>
      </c>
      <c r="DP67" s="18" t="s">
        <v>113</v>
      </c>
      <c r="DS67" s="18">
        <v>0</v>
      </c>
      <c r="DT67" s="18">
        <v>1</v>
      </c>
      <c r="DU67" s="18">
        <v>1</v>
      </c>
      <c r="DV67" s="18" t="s">
        <v>5552</v>
      </c>
      <c r="DX67" s="18" t="s">
        <v>5201</v>
      </c>
      <c r="DY67" s="18" t="s">
        <v>106</v>
      </c>
      <c r="DZ67" s="18" t="s">
        <v>113</v>
      </c>
      <c r="EA67" s="18" t="s">
        <v>5325</v>
      </c>
      <c r="EB67" s="18">
        <v>428</v>
      </c>
      <c r="EC67" s="18" t="s">
        <v>113</v>
      </c>
      <c r="ED67" s="18" t="s">
        <v>5176</v>
      </c>
      <c r="EE67" s="18" t="s">
        <v>106</v>
      </c>
      <c r="EF67" s="18" t="s">
        <v>106</v>
      </c>
      <c r="EG67" s="18" t="s">
        <v>5148</v>
      </c>
      <c r="EH67" s="18" t="s">
        <v>5149</v>
      </c>
      <c r="EI67" s="18" t="s">
        <v>5204</v>
      </c>
      <c r="EJ67" s="18" t="s">
        <v>5343</v>
      </c>
      <c r="EN67" s="18" t="s">
        <v>113</v>
      </c>
      <c r="EO67" s="18" t="s">
        <v>113</v>
      </c>
      <c r="EP67" s="18" t="s">
        <v>106</v>
      </c>
      <c r="EQ67" s="18" t="s">
        <v>113</v>
      </c>
      <c r="ER67" s="18" t="s">
        <v>5289</v>
      </c>
      <c r="ES67" s="18" t="s">
        <v>5352</v>
      </c>
      <c r="ET67" s="18" t="s">
        <v>5154</v>
      </c>
      <c r="EX67" s="18" t="s">
        <v>5158</v>
      </c>
      <c r="EY67" s="18" t="s">
        <v>5553</v>
      </c>
      <c r="EZ67" s="18" t="s">
        <v>5160</v>
      </c>
      <c r="FA67" s="18" t="s">
        <v>144</v>
      </c>
      <c r="FB67" s="18" t="s">
        <v>5161</v>
      </c>
    </row>
    <row r="68" spans="1:158" ht="10.5" customHeight="1" x14ac:dyDescent="0.2">
      <c r="A68" s="16">
        <v>41</v>
      </c>
      <c r="B68" s="16" t="s">
        <v>1047</v>
      </c>
      <c r="C68" s="16" t="s">
        <v>1046</v>
      </c>
      <c r="D68" s="16">
        <v>142695</v>
      </c>
      <c r="E68" s="16" t="s">
        <v>6657</v>
      </c>
      <c r="F68" s="18" t="s">
        <v>1046</v>
      </c>
      <c r="G68" s="18" t="s">
        <v>106</v>
      </c>
      <c r="H68" s="15" t="s">
        <v>5127</v>
      </c>
      <c r="I68" s="18">
        <v>15</v>
      </c>
      <c r="J68" s="18">
        <v>7</v>
      </c>
      <c r="K68" s="18">
        <v>8</v>
      </c>
      <c r="M68" s="18" t="s">
        <v>5121</v>
      </c>
      <c r="N68" s="18" t="s">
        <v>5554</v>
      </c>
      <c r="O68" s="18">
        <v>47834</v>
      </c>
      <c r="T68" s="18" t="s">
        <v>5382</v>
      </c>
      <c r="U68" s="18" t="s">
        <v>5185</v>
      </c>
      <c r="V68" s="18" t="s">
        <v>113</v>
      </c>
      <c r="W68" s="18" t="s">
        <v>5211</v>
      </c>
      <c r="Y68" s="18" t="s">
        <v>5555</v>
      </c>
      <c r="Z68" s="18" t="s">
        <v>106</v>
      </c>
      <c r="AA68" s="18" t="s">
        <v>5267</v>
      </c>
      <c r="AC68" s="18" t="s">
        <v>5127</v>
      </c>
      <c r="AD68" s="18" t="s">
        <v>5127</v>
      </c>
      <c r="AE68" s="18" t="s">
        <v>5127</v>
      </c>
      <c r="AF68" s="18" t="s">
        <v>111</v>
      </c>
      <c r="AG68" s="18" t="s">
        <v>5127</v>
      </c>
      <c r="AH68" s="18" t="s">
        <v>111</v>
      </c>
      <c r="AI68" s="18">
        <v>2</v>
      </c>
      <c r="AK68" s="18" t="s">
        <v>5424</v>
      </c>
      <c r="AN68" s="18">
        <v>0</v>
      </c>
      <c r="AO68" s="18" t="s">
        <v>5186</v>
      </c>
      <c r="AP68" s="18" t="s">
        <v>5456</v>
      </c>
      <c r="AQ68" s="18" t="s">
        <v>5547</v>
      </c>
      <c r="AR68" s="18" t="s">
        <v>5168</v>
      </c>
      <c r="AT68" s="17">
        <f>(365*D68*0.7)/1000</f>
        <v>36458.572500000002</v>
      </c>
      <c r="AU68" s="17">
        <f t="shared" si="2"/>
        <v>74</v>
      </c>
      <c r="AV68" s="18">
        <v>0</v>
      </c>
      <c r="AW68" s="18">
        <v>74</v>
      </c>
      <c r="AY68" s="18" t="s">
        <v>5548</v>
      </c>
      <c r="BG68" s="18" t="s">
        <v>5549</v>
      </c>
      <c r="BQ68" s="18">
        <v>48</v>
      </c>
      <c r="BR68" s="18">
        <v>46</v>
      </c>
      <c r="BS68" s="18">
        <v>14</v>
      </c>
      <c r="BT68" s="18">
        <v>54</v>
      </c>
      <c r="BU68" s="18">
        <v>0</v>
      </c>
      <c r="BV68" s="18">
        <v>162</v>
      </c>
      <c r="BW68" s="15">
        <f t="shared" si="3"/>
        <v>162</v>
      </c>
      <c r="BY68" s="18" t="s">
        <v>5134</v>
      </c>
      <c r="BZ68" s="18" t="s">
        <v>193</v>
      </c>
      <c r="CD68" s="18" t="s">
        <v>5127</v>
      </c>
      <c r="CE68" s="18" t="s">
        <v>111</v>
      </c>
      <c r="CF68" s="18" t="s">
        <v>5135</v>
      </c>
      <c r="CG68" s="18" t="s">
        <v>5550</v>
      </c>
      <c r="CH68" s="18" t="s">
        <v>5556</v>
      </c>
      <c r="CI68" s="18" t="s">
        <v>5195</v>
      </c>
      <c r="CJ68" s="18" t="s">
        <v>5139</v>
      </c>
      <c r="CK68" s="18" t="s">
        <v>5197</v>
      </c>
      <c r="CL68" s="18">
        <v>1</v>
      </c>
      <c r="CM68" s="18">
        <v>1</v>
      </c>
      <c r="CN68" s="18">
        <v>0</v>
      </c>
      <c r="CO68" s="18">
        <v>1</v>
      </c>
      <c r="CP68" s="18">
        <v>1</v>
      </c>
      <c r="CQ68" s="18">
        <v>1</v>
      </c>
      <c r="CR68" s="18" t="s">
        <v>5141</v>
      </c>
      <c r="CS68" s="18" t="s">
        <v>5141</v>
      </c>
      <c r="CT68" s="18">
        <v>1</v>
      </c>
      <c r="CU68" s="18">
        <v>1</v>
      </c>
      <c r="CV68" s="18" t="s">
        <v>5141</v>
      </c>
      <c r="CX68" s="18">
        <v>0</v>
      </c>
      <c r="CY68" s="18">
        <v>1</v>
      </c>
      <c r="CZ68" s="18">
        <v>0</v>
      </c>
      <c r="DA68" s="18">
        <v>0</v>
      </c>
      <c r="DB68" s="18">
        <v>0</v>
      </c>
      <c r="DC68" s="18">
        <v>0</v>
      </c>
      <c r="DD68" s="18">
        <v>0</v>
      </c>
      <c r="DE68" s="18">
        <v>0</v>
      </c>
      <c r="DF68" s="18">
        <v>0</v>
      </c>
      <c r="DG68" s="18">
        <v>0</v>
      </c>
      <c r="DH68" s="18">
        <v>0</v>
      </c>
      <c r="DI68" s="18" t="s">
        <v>5141</v>
      </c>
      <c r="DK68" s="18">
        <v>0</v>
      </c>
      <c r="DL68" s="18">
        <v>0</v>
      </c>
      <c r="DM68" s="18" t="s">
        <v>5127</v>
      </c>
      <c r="DN68" s="18" t="s">
        <v>5172</v>
      </c>
      <c r="DO68" s="18" t="s">
        <v>5173</v>
      </c>
      <c r="DP68" s="18" t="s">
        <v>113</v>
      </c>
      <c r="DS68" s="18">
        <v>0</v>
      </c>
      <c r="DT68" s="18">
        <v>0</v>
      </c>
      <c r="DU68" s="18">
        <v>1</v>
      </c>
      <c r="DV68" s="18" t="s">
        <v>5552</v>
      </c>
      <c r="DX68" s="18" t="s">
        <v>5201</v>
      </c>
      <c r="DY68" s="18" t="s">
        <v>106</v>
      </c>
      <c r="DZ68" s="18" t="s">
        <v>113</v>
      </c>
      <c r="EA68" s="18" t="s">
        <v>5202</v>
      </c>
      <c r="EB68" s="18">
        <v>162</v>
      </c>
      <c r="EC68" s="18" t="s">
        <v>113</v>
      </c>
      <c r="ED68" s="18" t="s">
        <v>5176</v>
      </c>
      <c r="EE68" s="18" t="s">
        <v>106</v>
      </c>
      <c r="EF68" s="18" t="s">
        <v>106</v>
      </c>
      <c r="EG68" s="18" t="s">
        <v>5148</v>
      </c>
      <c r="EH68" s="18" t="s">
        <v>5149</v>
      </c>
      <c r="EI68" s="18" t="s">
        <v>5204</v>
      </c>
      <c r="EJ68" s="18" t="s">
        <v>5343</v>
      </c>
      <c r="EN68" s="18" t="s">
        <v>113</v>
      </c>
      <c r="EO68" s="18" t="s">
        <v>113</v>
      </c>
      <c r="EP68" s="18" t="s">
        <v>106</v>
      </c>
      <c r="EQ68" s="18" t="s">
        <v>113</v>
      </c>
      <c r="ER68" s="18" t="s">
        <v>5289</v>
      </c>
      <c r="ES68" s="18" t="s">
        <v>5352</v>
      </c>
      <c r="ET68" s="18" t="s">
        <v>5154</v>
      </c>
      <c r="EX68" s="18" t="s">
        <v>5158</v>
      </c>
      <c r="EY68" s="18" t="s">
        <v>5347</v>
      </c>
      <c r="EZ68" s="18" t="s">
        <v>5182</v>
      </c>
      <c r="FA68" s="18" t="s">
        <v>144</v>
      </c>
      <c r="FB68" s="18" t="s">
        <v>5161</v>
      </c>
    </row>
    <row r="69" spans="1:158" ht="10.5" customHeight="1" x14ac:dyDescent="0.2">
      <c r="A69" s="16">
        <v>41</v>
      </c>
      <c r="B69" s="16" t="s">
        <v>1047</v>
      </c>
      <c r="C69" s="16" t="s">
        <v>1046</v>
      </c>
      <c r="D69" s="16">
        <v>142695</v>
      </c>
      <c r="E69" s="16" t="s">
        <v>6657</v>
      </c>
      <c r="F69" s="18" t="s">
        <v>1046</v>
      </c>
      <c r="G69" s="18" t="s">
        <v>106</v>
      </c>
      <c r="H69" s="15" t="s">
        <v>5127</v>
      </c>
      <c r="I69" s="18">
        <v>13</v>
      </c>
      <c r="J69" s="18">
        <v>7</v>
      </c>
      <c r="K69" s="18">
        <v>6</v>
      </c>
      <c r="M69" s="18" t="s">
        <v>5230</v>
      </c>
      <c r="N69" s="18" t="s">
        <v>5557</v>
      </c>
      <c r="O69" s="18">
        <v>46104</v>
      </c>
      <c r="T69" s="18" t="s">
        <v>5501</v>
      </c>
      <c r="U69" s="18" t="s">
        <v>5185</v>
      </c>
      <c r="V69" s="18" t="s">
        <v>106</v>
      </c>
      <c r="W69" s="18" t="s">
        <v>5211</v>
      </c>
      <c r="Y69" s="18" t="s">
        <v>5555</v>
      </c>
      <c r="Z69" s="18" t="s">
        <v>106</v>
      </c>
      <c r="AA69" s="18" t="s">
        <v>5163</v>
      </c>
      <c r="AB69" s="18" t="s">
        <v>179</v>
      </c>
      <c r="AC69" s="18" t="s">
        <v>5127</v>
      </c>
      <c r="AD69" s="18" t="s">
        <v>5127</v>
      </c>
      <c r="AE69" s="18" t="s">
        <v>5127</v>
      </c>
      <c r="AF69" s="18" t="s">
        <v>5127</v>
      </c>
      <c r="AG69" s="18" t="s">
        <v>5127</v>
      </c>
      <c r="AH69" s="18" t="s">
        <v>111</v>
      </c>
      <c r="AI69" s="18">
        <v>1</v>
      </c>
      <c r="AK69" s="18" t="s">
        <v>5128</v>
      </c>
      <c r="AN69" s="18">
        <v>0</v>
      </c>
      <c r="AO69" s="18" t="s">
        <v>5186</v>
      </c>
      <c r="AP69" s="18" t="s">
        <v>5456</v>
      </c>
      <c r="AQ69" s="18" t="s">
        <v>5547</v>
      </c>
      <c r="AR69" s="18" t="s">
        <v>5168</v>
      </c>
      <c r="AT69" s="17">
        <f>(365*D69*0.7)/1000</f>
        <v>36458.572500000002</v>
      </c>
      <c r="AU69" s="17">
        <f t="shared" si="2"/>
        <v>225</v>
      </c>
      <c r="AV69" s="18">
        <v>0</v>
      </c>
      <c r="AW69" s="18">
        <v>225</v>
      </c>
      <c r="AY69" s="18" t="s">
        <v>5548</v>
      </c>
      <c r="BG69" s="18" t="s">
        <v>5549</v>
      </c>
      <c r="BQ69" s="18">
        <v>208</v>
      </c>
      <c r="BR69" s="18">
        <v>139</v>
      </c>
      <c r="BS69" s="18">
        <v>48</v>
      </c>
      <c r="BT69" s="18">
        <v>101</v>
      </c>
      <c r="BU69" s="18">
        <v>0</v>
      </c>
      <c r="BV69" s="18">
        <v>496</v>
      </c>
      <c r="BW69" s="15">
        <f t="shared" si="3"/>
        <v>496</v>
      </c>
      <c r="BY69" s="18" t="s">
        <v>5134</v>
      </c>
      <c r="BZ69" s="18" t="s">
        <v>193</v>
      </c>
      <c r="CD69" s="18" t="s">
        <v>5127</v>
      </c>
      <c r="CE69" s="18" t="s">
        <v>111</v>
      </c>
      <c r="CF69" s="18" t="s">
        <v>5135</v>
      </c>
      <c r="CG69" s="18" t="s">
        <v>5550</v>
      </c>
      <c r="CH69" s="18" t="s">
        <v>5556</v>
      </c>
      <c r="CI69" s="18" t="s">
        <v>5195</v>
      </c>
      <c r="CJ69" s="18" t="s">
        <v>5196</v>
      </c>
      <c r="CK69" s="18" t="s">
        <v>5197</v>
      </c>
      <c r="CL69" s="18">
        <v>2</v>
      </c>
      <c r="CM69" s="18">
        <v>0</v>
      </c>
      <c r="CN69" s="18">
        <v>0</v>
      </c>
      <c r="CO69" s="18">
        <v>1</v>
      </c>
      <c r="CP69" s="18">
        <v>1</v>
      </c>
      <c r="CQ69" s="18">
        <v>1</v>
      </c>
      <c r="CR69" s="18" t="s">
        <v>5141</v>
      </c>
      <c r="CS69" s="18" t="s">
        <v>5141</v>
      </c>
      <c r="CT69" s="18">
        <v>1</v>
      </c>
      <c r="CU69" s="18">
        <v>0</v>
      </c>
      <c r="CV69" s="18">
        <v>0</v>
      </c>
      <c r="CX69" s="18">
        <v>0</v>
      </c>
      <c r="CY69" s="18">
        <v>1</v>
      </c>
      <c r="CZ69" s="18">
        <v>0</v>
      </c>
      <c r="DA69" s="18">
        <v>0</v>
      </c>
      <c r="DB69" s="18">
        <v>0</v>
      </c>
      <c r="DC69" s="18">
        <v>1</v>
      </c>
      <c r="DD69" s="18">
        <v>0</v>
      </c>
      <c r="DE69" s="18">
        <v>0</v>
      </c>
      <c r="DF69" s="18">
        <v>0</v>
      </c>
      <c r="DG69" s="18">
        <v>0</v>
      </c>
      <c r="DH69" s="18">
        <v>0</v>
      </c>
      <c r="DI69" s="18" t="s">
        <v>5141</v>
      </c>
      <c r="DK69" s="18">
        <v>0</v>
      </c>
      <c r="DL69" s="18">
        <v>0</v>
      </c>
      <c r="DM69" s="18" t="s">
        <v>5127</v>
      </c>
      <c r="DN69" s="18" t="s">
        <v>5314</v>
      </c>
      <c r="DO69" s="18" t="s">
        <v>5173</v>
      </c>
      <c r="DP69" s="18" t="s">
        <v>113</v>
      </c>
      <c r="DS69" s="18">
        <v>0</v>
      </c>
      <c r="DT69" s="18">
        <v>1</v>
      </c>
      <c r="DU69" s="18">
        <v>1</v>
      </c>
      <c r="DV69" s="18" t="s">
        <v>5552</v>
      </c>
      <c r="DX69" s="18" t="s">
        <v>5201</v>
      </c>
      <c r="DY69" s="18" t="s">
        <v>106</v>
      </c>
      <c r="DZ69" s="18" t="s">
        <v>113</v>
      </c>
      <c r="EA69" s="18" t="s">
        <v>5261</v>
      </c>
      <c r="EB69" s="18">
        <v>494</v>
      </c>
      <c r="EC69" s="18" t="s">
        <v>113</v>
      </c>
      <c r="ED69" s="18" t="s">
        <v>5147</v>
      </c>
      <c r="EE69" s="18" t="s">
        <v>106</v>
      </c>
      <c r="EF69" s="18" t="s">
        <v>106</v>
      </c>
      <c r="EG69" s="18" t="s">
        <v>5148</v>
      </c>
      <c r="EH69" s="18" t="s">
        <v>5203</v>
      </c>
      <c r="EI69" s="18" t="s">
        <v>5204</v>
      </c>
      <c r="EJ69" s="18" t="s">
        <v>5422</v>
      </c>
      <c r="EN69" s="18" t="s">
        <v>113</v>
      </c>
      <c r="EO69" s="18" t="s">
        <v>113</v>
      </c>
      <c r="EP69" s="18" t="s">
        <v>106</v>
      </c>
      <c r="EQ69" s="18" t="s">
        <v>113</v>
      </c>
      <c r="ER69" s="18" t="s">
        <v>5155</v>
      </c>
      <c r="ES69" s="18" t="s">
        <v>5558</v>
      </c>
      <c r="ET69" s="18" t="s">
        <v>5154</v>
      </c>
      <c r="EX69" s="18" t="s">
        <v>5158</v>
      </c>
      <c r="EY69" s="18" t="s">
        <v>5181</v>
      </c>
      <c r="EZ69" s="18" t="s">
        <v>5182</v>
      </c>
      <c r="FA69" s="18" t="s">
        <v>144</v>
      </c>
      <c r="FB69" s="18" t="s">
        <v>5161</v>
      </c>
    </row>
    <row r="70" spans="1:158" ht="10.5" customHeight="1" x14ac:dyDescent="0.2">
      <c r="A70" s="16">
        <v>41</v>
      </c>
      <c r="B70" s="16" t="s">
        <v>1047</v>
      </c>
      <c r="C70" s="16" t="s">
        <v>1046</v>
      </c>
      <c r="D70" s="16">
        <v>142695</v>
      </c>
      <c r="E70" s="16" t="s">
        <v>6657</v>
      </c>
      <c r="F70" s="18" t="s">
        <v>1046</v>
      </c>
      <c r="G70" s="18" t="s">
        <v>106</v>
      </c>
      <c r="H70" s="15" t="s">
        <v>5127</v>
      </c>
      <c r="I70" s="18">
        <v>8</v>
      </c>
      <c r="J70" s="18">
        <v>5</v>
      </c>
      <c r="K70" s="18">
        <v>3</v>
      </c>
      <c r="M70" s="18" t="s">
        <v>5183</v>
      </c>
      <c r="N70" s="18" t="s">
        <v>5559</v>
      </c>
      <c r="O70" s="18">
        <v>45981</v>
      </c>
      <c r="T70" s="18" t="s">
        <v>5382</v>
      </c>
      <c r="U70" s="18" t="s">
        <v>5185</v>
      </c>
      <c r="V70" s="18" t="s">
        <v>106</v>
      </c>
      <c r="W70" s="18" t="s">
        <v>5211</v>
      </c>
      <c r="Y70" s="18" t="s">
        <v>5232</v>
      </c>
      <c r="Z70" s="18" t="s">
        <v>113</v>
      </c>
      <c r="AA70" s="18" t="s">
        <v>5267</v>
      </c>
      <c r="AC70" s="18" t="s">
        <v>111</v>
      </c>
      <c r="AD70" s="18" t="s">
        <v>5127</v>
      </c>
      <c r="AE70" s="18" t="s">
        <v>111</v>
      </c>
      <c r="AF70" s="18" t="s">
        <v>111</v>
      </c>
      <c r="AG70" s="18" t="s">
        <v>5127</v>
      </c>
      <c r="AH70" s="18" t="s">
        <v>5127</v>
      </c>
      <c r="AI70" s="18">
        <v>1</v>
      </c>
      <c r="AK70" s="18" t="s">
        <v>5128</v>
      </c>
      <c r="AN70" s="18">
        <v>0</v>
      </c>
      <c r="AO70" s="18" t="s">
        <v>5186</v>
      </c>
      <c r="AP70" s="18" t="s">
        <v>5456</v>
      </c>
      <c r="AQ70" s="18" t="s">
        <v>5547</v>
      </c>
      <c r="AR70" s="18" t="s">
        <v>5168</v>
      </c>
      <c r="AT70" s="17">
        <f>(365*D70*0.7)/1000</f>
        <v>36458.572500000002</v>
      </c>
      <c r="AU70" s="17">
        <f t="shared" si="2"/>
        <v>72</v>
      </c>
      <c r="AV70" s="18">
        <v>0</v>
      </c>
      <c r="AW70" s="18">
        <v>72</v>
      </c>
      <c r="AY70" s="18" t="s">
        <v>5548</v>
      </c>
      <c r="BG70" s="18" t="s">
        <v>5549</v>
      </c>
      <c r="BQ70" s="18">
        <v>82</v>
      </c>
      <c r="BR70" s="18">
        <v>52</v>
      </c>
      <c r="BS70" s="18">
        <v>20</v>
      </c>
      <c r="BT70" s="18">
        <v>6</v>
      </c>
      <c r="BU70" s="18">
        <v>0</v>
      </c>
      <c r="BV70" s="18">
        <v>160</v>
      </c>
      <c r="BW70" s="15">
        <f t="shared" si="3"/>
        <v>160</v>
      </c>
      <c r="BY70" s="18" t="s">
        <v>5134</v>
      </c>
      <c r="BZ70" s="18" t="s">
        <v>193</v>
      </c>
      <c r="CD70" s="18" t="s">
        <v>5127</v>
      </c>
      <c r="CE70" s="18" t="s">
        <v>111</v>
      </c>
      <c r="CF70" s="18" t="s">
        <v>5135</v>
      </c>
      <c r="CG70" s="18" t="s">
        <v>5550</v>
      </c>
      <c r="CH70" s="18" t="s">
        <v>5556</v>
      </c>
      <c r="CI70" s="18" t="s">
        <v>5195</v>
      </c>
      <c r="CJ70" s="18" t="s">
        <v>5139</v>
      </c>
      <c r="CK70" s="18" t="s">
        <v>5197</v>
      </c>
      <c r="CL70" s="18">
        <v>2</v>
      </c>
      <c r="CM70" s="18">
        <v>0</v>
      </c>
      <c r="CN70" s="18">
        <v>0</v>
      </c>
      <c r="CO70" s="18">
        <v>1</v>
      </c>
      <c r="CP70" s="18">
        <v>1</v>
      </c>
      <c r="CQ70" s="18">
        <v>0</v>
      </c>
      <c r="CR70" s="18" t="s">
        <v>5141</v>
      </c>
      <c r="CS70" s="18" t="s">
        <v>5141</v>
      </c>
      <c r="CT70" s="18">
        <v>0</v>
      </c>
      <c r="CU70" s="18">
        <v>0</v>
      </c>
      <c r="CV70" s="18">
        <v>0</v>
      </c>
      <c r="CX70" s="18">
        <v>1</v>
      </c>
      <c r="CY70" s="18">
        <v>0</v>
      </c>
      <c r="CZ70" s="18">
        <v>0</v>
      </c>
      <c r="DA70" s="18">
        <v>0</v>
      </c>
      <c r="DB70" s="18">
        <v>0</v>
      </c>
      <c r="DC70" s="18">
        <v>0</v>
      </c>
      <c r="DD70" s="18">
        <v>0</v>
      </c>
      <c r="DE70" s="18">
        <v>0</v>
      </c>
      <c r="DF70" s="18">
        <v>0</v>
      </c>
      <c r="DG70" s="18">
        <v>0</v>
      </c>
      <c r="DH70" s="18">
        <v>0</v>
      </c>
      <c r="DI70" s="18" t="s">
        <v>5141</v>
      </c>
      <c r="DK70" s="18">
        <v>0</v>
      </c>
      <c r="DL70" s="18">
        <v>0</v>
      </c>
      <c r="DM70" s="18" t="s">
        <v>111</v>
      </c>
      <c r="DN70" s="18" t="s">
        <v>5314</v>
      </c>
      <c r="DO70" s="18" t="s">
        <v>5173</v>
      </c>
      <c r="DP70" s="18" t="s">
        <v>113</v>
      </c>
      <c r="DS70" s="18">
        <v>0</v>
      </c>
      <c r="DT70" s="18">
        <v>0</v>
      </c>
      <c r="DU70" s="18">
        <v>1</v>
      </c>
      <c r="DV70" s="18" t="s">
        <v>5174</v>
      </c>
      <c r="DX70" s="18" t="s">
        <v>5201</v>
      </c>
      <c r="DY70" s="18" t="s">
        <v>113</v>
      </c>
      <c r="DZ70" s="18" t="s">
        <v>113</v>
      </c>
      <c r="EA70" s="18" t="s">
        <v>5261</v>
      </c>
      <c r="EB70" s="18">
        <v>160</v>
      </c>
      <c r="EC70" s="18" t="s">
        <v>113</v>
      </c>
      <c r="ED70" s="18" t="s">
        <v>5176</v>
      </c>
      <c r="EE70" s="18" t="s">
        <v>106</v>
      </c>
      <c r="EF70" s="18" t="s">
        <v>106</v>
      </c>
      <c r="EG70" s="18" t="s">
        <v>5148</v>
      </c>
      <c r="EH70" s="18" t="s">
        <v>5149</v>
      </c>
      <c r="EI70" s="18" t="s">
        <v>5204</v>
      </c>
      <c r="EJ70" s="18" t="s">
        <v>5530</v>
      </c>
      <c r="EN70" s="18" t="s">
        <v>113</v>
      </c>
      <c r="EO70" s="18" t="s">
        <v>113</v>
      </c>
      <c r="EP70" s="18" t="s">
        <v>106</v>
      </c>
      <c r="EQ70" s="18" t="s">
        <v>113</v>
      </c>
      <c r="ER70" s="18" t="s">
        <v>5289</v>
      </c>
      <c r="ES70" s="18" t="s">
        <v>5352</v>
      </c>
      <c r="ET70" s="18" t="s">
        <v>5154</v>
      </c>
      <c r="EW70" s="18" t="s">
        <v>179</v>
      </c>
      <c r="EX70" s="18" t="s">
        <v>5158</v>
      </c>
      <c r="EY70" s="18" t="s">
        <v>5553</v>
      </c>
      <c r="EZ70" s="18" t="s">
        <v>5182</v>
      </c>
      <c r="FA70" s="18" t="s">
        <v>144</v>
      </c>
      <c r="FB70" s="18" t="s">
        <v>5161</v>
      </c>
    </row>
    <row r="71" spans="1:158" ht="10.5" customHeight="1" x14ac:dyDescent="0.2">
      <c r="A71" s="16">
        <v>41</v>
      </c>
      <c r="B71" s="16" t="s">
        <v>4172</v>
      </c>
      <c r="C71" s="16" t="s">
        <v>4173</v>
      </c>
      <c r="D71" s="16">
        <v>31555</v>
      </c>
      <c r="E71" s="16" t="s">
        <v>6658</v>
      </c>
      <c r="H71" s="15" t="s">
        <v>6661</v>
      </c>
      <c r="AT71" s="17">
        <f>(365*D71*0.7)/1000</f>
        <v>8062.3024999999989</v>
      </c>
      <c r="AU71" s="17">
        <f t="shared" si="2"/>
        <v>0</v>
      </c>
      <c r="BW71" s="15">
        <f t="shared" si="3"/>
        <v>0</v>
      </c>
    </row>
    <row r="72" spans="1:158" ht="10.5" customHeight="1" x14ac:dyDescent="0.2">
      <c r="A72" s="16">
        <v>41</v>
      </c>
      <c r="B72" s="16" t="s">
        <v>1064</v>
      </c>
      <c r="C72" s="16" t="s">
        <v>1063</v>
      </c>
      <c r="D72" s="16">
        <v>103340</v>
      </c>
      <c r="E72" s="16" t="s">
        <v>6657</v>
      </c>
      <c r="F72" s="18" t="s">
        <v>1063</v>
      </c>
      <c r="G72" s="18" t="s">
        <v>106</v>
      </c>
      <c r="H72" s="15" t="s">
        <v>5127</v>
      </c>
      <c r="I72" s="18">
        <v>11</v>
      </c>
      <c r="J72" s="18">
        <v>9</v>
      </c>
      <c r="K72" s="18">
        <v>2</v>
      </c>
      <c r="M72" s="18" t="s">
        <v>5121</v>
      </c>
      <c r="N72" s="18" t="s">
        <v>5560</v>
      </c>
      <c r="T72" s="18" t="s">
        <v>111</v>
      </c>
      <c r="U72" s="18" t="s">
        <v>5250</v>
      </c>
      <c r="V72" s="18" t="s">
        <v>113</v>
      </c>
      <c r="W72" s="18" t="s">
        <v>113</v>
      </c>
      <c r="Y72" s="18" t="s">
        <v>5162</v>
      </c>
      <c r="Z72" s="18" t="s">
        <v>106</v>
      </c>
      <c r="AA72" s="18" t="s">
        <v>5267</v>
      </c>
      <c r="AC72" s="18" t="s">
        <v>5127</v>
      </c>
      <c r="AD72" s="18" t="s">
        <v>5127</v>
      </c>
      <c r="AE72" s="18" t="s">
        <v>5127</v>
      </c>
      <c r="AF72" s="18" t="s">
        <v>5127</v>
      </c>
      <c r="AG72" s="18" t="s">
        <v>5127</v>
      </c>
      <c r="AH72" s="18" t="s">
        <v>5127</v>
      </c>
      <c r="AI72" s="18">
        <v>0</v>
      </c>
      <c r="AK72" s="18" t="s">
        <v>5164</v>
      </c>
      <c r="AN72" s="18">
        <v>436</v>
      </c>
      <c r="AO72" s="18" t="s">
        <v>5129</v>
      </c>
      <c r="AP72" s="18" t="s">
        <v>5561</v>
      </c>
      <c r="AQ72" s="18" t="s">
        <v>5252</v>
      </c>
      <c r="AR72" s="18" t="s">
        <v>179</v>
      </c>
      <c r="AT72" s="17">
        <f>(365*D72*0.7)/1000</f>
        <v>26403.37</v>
      </c>
      <c r="AU72" s="17">
        <f t="shared" si="2"/>
        <v>28</v>
      </c>
      <c r="AV72" s="18">
        <v>28</v>
      </c>
      <c r="AW72" s="18">
        <v>0</v>
      </c>
      <c r="AY72" s="18" t="s">
        <v>164</v>
      </c>
      <c r="BG72" s="18" t="s">
        <v>5169</v>
      </c>
      <c r="BQ72" s="18">
        <v>60</v>
      </c>
      <c r="BR72" s="18">
        <v>13</v>
      </c>
      <c r="BS72" s="18">
        <v>24</v>
      </c>
      <c r="BT72" s="18">
        <v>79</v>
      </c>
      <c r="BU72" s="18">
        <v>0</v>
      </c>
      <c r="BV72" s="18">
        <v>176</v>
      </c>
      <c r="BW72" s="15">
        <f t="shared" si="3"/>
        <v>176</v>
      </c>
      <c r="BY72" s="18" t="s">
        <v>5134</v>
      </c>
      <c r="BZ72" s="18" t="s">
        <v>193</v>
      </c>
      <c r="CD72" s="18" t="s">
        <v>5127</v>
      </c>
      <c r="CE72" s="18" t="s">
        <v>111</v>
      </c>
      <c r="CF72" s="18" t="s">
        <v>5135</v>
      </c>
      <c r="CG72" s="18" t="s">
        <v>5562</v>
      </c>
      <c r="CH72" s="18" t="s">
        <v>5284</v>
      </c>
      <c r="CI72" s="18" t="s">
        <v>5138</v>
      </c>
      <c r="CJ72" s="18" t="s">
        <v>5196</v>
      </c>
      <c r="CK72" s="18" t="s">
        <v>5171</v>
      </c>
      <c r="CL72" s="18">
        <v>0</v>
      </c>
      <c r="CM72" s="18">
        <v>0</v>
      </c>
      <c r="CN72" s="18">
        <v>0</v>
      </c>
      <c r="CO72" s="18">
        <v>1</v>
      </c>
      <c r="CP72" s="18">
        <v>0</v>
      </c>
      <c r="CQ72" s="18">
        <v>0</v>
      </c>
      <c r="CR72" s="18">
        <v>0</v>
      </c>
      <c r="CS72" s="18" t="s">
        <v>5141</v>
      </c>
      <c r="CT72" s="18">
        <v>0</v>
      </c>
      <c r="CU72" s="18">
        <v>1</v>
      </c>
      <c r="CV72" s="18">
        <v>0</v>
      </c>
      <c r="CX72" s="18">
        <v>1</v>
      </c>
      <c r="CY72" s="18">
        <v>0</v>
      </c>
      <c r="CZ72" s="18">
        <v>1</v>
      </c>
      <c r="DA72" s="18">
        <v>0</v>
      </c>
      <c r="DB72" s="18">
        <v>1</v>
      </c>
      <c r="DC72" s="18">
        <v>1</v>
      </c>
      <c r="DD72" s="18">
        <v>1</v>
      </c>
      <c r="DE72" s="18" t="s">
        <v>5141</v>
      </c>
      <c r="DF72" s="18" t="s">
        <v>5141</v>
      </c>
      <c r="DG72" s="18">
        <v>0</v>
      </c>
      <c r="DH72" s="18">
        <v>1</v>
      </c>
      <c r="DI72" s="18">
        <v>1</v>
      </c>
      <c r="DK72" s="18">
        <v>0</v>
      </c>
      <c r="DL72" s="18">
        <v>0</v>
      </c>
      <c r="DM72" s="18" t="s">
        <v>5127</v>
      </c>
      <c r="DN72" s="18" t="s">
        <v>5258</v>
      </c>
      <c r="DO72" s="18" t="s">
        <v>5259</v>
      </c>
      <c r="DP72" s="18" t="s">
        <v>113</v>
      </c>
      <c r="DS72" s="18">
        <v>0</v>
      </c>
      <c r="DT72" s="18">
        <v>1</v>
      </c>
      <c r="DU72" s="18">
        <v>1</v>
      </c>
      <c r="DV72" s="18" t="s">
        <v>5260</v>
      </c>
      <c r="DX72" s="18" t="s">
        <v>5222</v>
      </c>
      <c r="DY72" s="18" t="s">
        <v>106</v>
      </c>
      <c r="DZ72" s="18" t="s">
        <v>106</v>
      </c>
      <c r="EA72" s="18" t="s">
        <v>5175</v>
      </c>
      <c r="EB72" s="18">
        <v>408</v>
      </c>
      <c r="EC72" s="18" t="s">
        <v>106</v>
      </c>
      <c r="ED72" s="18" t="s">
        <v>5176</v>
      </c>
      <c r="EE72" s="18" t="s">
        <v>113</v>
      </c>
      <c r="EF72" s="18" t="s">
        <v>113</v>
      </c>
      <c r="EG72" s="18" t="s">
        <v>5148</v>
      </c>
      <c r="EH72" s="18" t="s">
        <v>5203</v>
      </c>
      <c r="EI72" s="18" t="s">
        <v>5150</v>
      </c>
      <c r="EJ72" s="18" t="s">
        <v>5343</v>
      </c>
      <c r="EK72" s="18" t="s">
        <v>113</v>
      </c>
      <c r="EM72" s="18" t="s">
        <v>5227</v>
      </c>
      <c r="EN72" s="18" t="s">
        <v>113</v>
      </c>
      <c r="EO72" s="18" t="s">
        <v>113</v>
      </c>
      <c r="EP72" s="18" t="s">
        <v>106</v>
      </c>
      <c r="EQ72" s="18" t="s">
        <v>113</v>
      </c>
      <c r="ER72" s="18" t="s">
        <v>5289</v>
      </c>
      <c r="ES72" s="18" t="s">
        <v>5317</v>
      </c>
      <c r="ET72" s="18" t="s">
        <v>5154</v>
      </c>
      <c r="EU72" s="18" t="s">
        <v>5155</v>
      </c>
      <c r="EV72" s="18" t="s">
        <v>5482</v>
      </c>
      <c r="EW72" s="18" t="s">
        <v>5563</v>
      </c>
      <c r="EX72" s="18" t="s">
        <v>5158</v>
      </c>
      <c r="EY72" s="18" t="s">
        <v>5248</v>
      </c>
      <c r="EZ72" s="18" t="s">
        <v>5160</v>
      </c>
      <c r="FA72" s="18" t="s">
        <v>144</v>
      </c>
      <c r="FB72" s="18" t="s">
        <v>5161</v>
      </c>
    </row>
    <row r="73" spans="1:158" ht="10.5" customHeight="1" x14ac:dyDescent="0.2">
      <c r="A73" s="16">
        <v>41</v>
      </c>
      <c r="B73" s="16" t="s">
        <v>1064</v>
      </c>
      <c r="C73" s="16" t="s">
        <v>1063</v>
      </c>
      <c r="D73" s="16">
        <v>103340</v>
      </c>
      <c r="E73" s="16" t="s">
        <v>6657</v>
      </c>
      <c r="F73" s="18" t="s">
        <v>1063</v>
      </c>
      <c r="G73" s="18" t="s">
        <v>106</v>
      </c>
      <c r="H73" s="15" t="s">
        <v>5127</v>
      </c>
      <c r="I73" s="18">
        <v>14</v>
      </c>
      <c r="J73" s="18">
        <v>12</v>
      </c>
      <c r="K73" s="18">
        <v>2</v>
      </c>
      <c r="M73" s="18" t="s">
        <v>5183</v>
      </c>
      <c r="N73" s="18">
        <v>309236</v>
      </c>
      <c r="O73" s="18">
        <v>45970</v>
      </c>
      <c r="T73" s="18" t="s">
        <v>111</v>
      </c>
      <c r="U73" s="18" t="s">
        <v>5123</v>
      </c>
      <c r="V73" s="18" t="s">
        <v>106</v>
      </c>
      <c r="W73" s="18" t="s">
        <v>5124</v>
      </c>
      <c r="Y73" s="18" t="s">
        <v>5162</v>
      </c>
      <c r="Z73" s="18" t="s">
        <v>106</v>
      </c>
      <c r="AA73" s="18" t="s">
        <v>5267</v>
      </c>
      <c r="AB73" s="18" t="s">
        <v>179</v>
      </c>
      <c r="AC73" s="18" t="s">
        <v>5127</v>
      </c>
      <c r="AD73" s="18" t="s">
        <v>5127</v>
      </c>
      <c r="AE73" s="18" t="s">
        <v>5127</v>
      </c>
      <c r="AF73" s="18" t="s">
        <v>5127</v>
      </c>
      <c r="AG73" s="18" t="s">
        <v>5127</v>
      </c>
      <c r="AH73" s="18" t="s">
        <v>5127</v>
      </c>
      <c r="AI73" s="18">
        <v>1</v>
      </c>
      <c r="AK73" s="18" t="s">
        <v>5164</v>
      </c>
      <c r="AN73" s="18">
        <v>250</v>
      </c>
      <c r="AO73" s="18" t="s">
        <v>5165</v>
      </c>
      <c r="AP73" s="18" t="s">
        <v>5456</v>
      </c>
      <c r="AQ73" s="18" t="s">
        <v>5486</v>
      </c>
      <c r="AR73" s="18" t="s">
        <v>5168</v>
      </c>
      <c r="AT73" s="17">
        <f>(365*D73*0.7)/1000</f>
        <v>26403.37</v>
      </c>
      <c r="AU73" s="17">
        <f t="shared" si="2"/>
        <v>75</v>
      </c>
      <c r="AV73" s="18">
        <v>75</v>
      </c>
      <c r="AW73" s="18">
        <v>0</v>
      </c>
      <c r="AY73" s="18" t="s">
        <v>164</v>
      </c>
      <c r="BG73" s="18" t="s">
        <v>5169</v>
      </c>
      <c r="BQ73" s="18">
        <v>110</v>
      </c>
      <c r="BR73" s="18">
        <v>92</v>
      </c>
      <c r="BS73" s="18">
        <v>24</v>
      </c>
      <c r="BT73" s="18">
        <v>20</v>
      </c>
      <c r="BU73" s="18">
        <v>4</v>
      </c>
      <c r="BV73" s="18">
        <v>250</v>
      </c>
      <c r="BW73" s="15">
        <f t="shared" si="3"/>
        <v>250</v>
      </c>
      <c r="BY73" s="18" t="s">
        <v>5134</v>
      </c>
      <c r="BZ73" s="18" t="s">
        <v>5312</v>
      </c>
      <c r="CD73" s="18" t="s">
        <v>5127</v>
      </c>
      <c r="CE73" s="18" t="s">
        <v>5127</v>
      </c>
      <c r="CF73" s="18" t="s">
        <v>5135</v>
      </c>
      <c r="CG73" s="18" t="s">
        <v>5550</v>
      </c>
      <c r="CH73" s="18" t="s">
        <v>5564</v>
      </c>
      <c r="CI73" s="18" t="s">
        <v>5138</v>
      </c>
      <c r="CJ73" s="18" t="s">
        <v>5196</v>
      </c>
      <c r="CK73" s="18" t="s">
        <v>5171</v>
      </c>
      <c r="CL73" s="18">
        <v>2</v>
      </c>
      <c r="CM73" s="18">
        <v>3</v>
      </c>
      <c r="CN73" s="18">
        <v>0</v>
      </c>
      <c r="CO73" s="18">
        <v>0</v>
      </c>
      <c r="CP73" s="18">
        <v>0</v>
      </c>
      <c r="CQ73" s="18">
        <v>0</v>
      </c>
      <c r="CR73" s="18">
        <v>0</v>
      </c>
      <c r="CS73" s="18" t="s">
        <v>5141</v>
      </c>
      <c r="CT73" s="18">
        <v>0</v>
      </c>
      <c r="CU73" s="18">
        <v>0</v>
      </c>
      <c r="CV73" s="18">
        <v>0</v>
      </c>
      <c r="CX73" s="18">
        <v>1</v>
      </c>
      <c r="CY73" s="18">
        <v>1</v>
      </c>
      <c r="CZ73" s="18">
        <v>1</v>
      </c>
      <c r="DA73" s="18">
        <v>1</v>
      </c>
      <c r="DB73" s="18">
        <v>1</v>
      </c>
      <c r="DC73" s="18">
        <v>1</v>
      </c>
      <c r="DD73" s="18">
        <v>1</v>
      </c>
      <c r="DE73" s="18">
        <v>1</v>
      </c>
      <c r="DF73" s="18">
        <v>1</v>
      </c>
      <c r="DG73" s="18">
        <v>1</v>
      </c>
      <c r="DH73" s="18">
        <v>1</v>
      </c>
      <c r="DI73" s="18">
        <v>1</v>
      </c>
      <c r="DK73" s="18">
        <v>0</v>
      </c>
      <c r="DL73" s="18">
        <v>1</v>
      </c>
      <c r="DM73" s="18" t="s">
        <v>5127</v>
      </c>
      <c r="DN73" s="18" t="s">
        <v>5172</v>
      </c>
      <c r="DO73" s="18" t="s">
        <v>5173</v>
      </c>
      <c r="DP73" s="18" t="s">
        <v>106</v>
      </c>
      <c r="DQ73" s="18" t="s">
        <v>179</v>
      </c>
      <c r="DS73" s="18">
        <v>0</v>
      </c>
      <c r="DT73" s="18">
        <v>0</v>
      </c>
      <c r="DU73" s="18">
        <v>1</v>
      </c>
      <c r="DV73" s="18" t="s">
        <v>5565</v>
      </c>
      <c r="DX73" s="18" t="s">
        <v>5222</v>
      </c>
      <c r="DY73" s="18" t="s">
        <v>106</v>
      </c>
      <c r="DZ73" s="18" t="s">
        <v>106</v>
      </c>
      <c r="EA73" s="18" t="s">
        <v>5146</v>
      </c>
      <c r="EB73" s="18">
        <v>10</v>
      </c>
      <c r="EC73" s="18" t="s">
        <v>106</v>
      </c>
      <c r="ED73" s="18" t="s">
        <v>5176</v>
      </c>
      <c r="EE73" s="18" t="s">
        <v>106</v>
      </c>
      <c r="EF73" s="18" t="s">
        <v>113</v>
      </c>
      <c r="EG73" s="18" t="s">
        <v>5148</v>
      </c>
      <c r="EH73" s="18" t="s">
        <v>5203</v>
      </c>
      <c r="EI73" s="18" t="s">
        <v>5204</v>
      </c>
      <c r="EJ73" s="18" t="s">
        <v>5245</v>
      </c>
      <c r="EK73" s="18" t="s">
        <v>113</v>
      </c>
      <c r="EN73" s="18" t="s">
        <v>113</v>
      </c>
      <c r="EO73" s="18" t="s">
        <v>113</v>
      </c>
      <c r="EP73" s="18" t="s">
        <v>113</v>
      </c>
      <c r="EQ73" s="18" t="s">
        <v>113</v>
      </c>
      <c r="ER73" s="18" t="s">
        <v>5152</v>
      </c>
      <c r="ES73" s="18" t="s">
        <v>5405</v>
      </c>
      <c r="ET73" s="18" t="s">
        <v>5154</v>
      </c>
      <c r="EU73" s="18" t="s">
        <v>5318</v>
      </c>
      <c r="EV73" s="18" t="s">
        <v>5566</v>
      </c>
      <c r="EW73" s="18" t="s">
        <v>5567</v>
      </c>
      <c r="EX73" s="18" t="s">
        <v>5158</v>
      </c>
      <c r="EY73" s="18" t="s">
        <v>5181</v>
      </c>
      <c r="EZ73" s="18" t="s">
        <v>5182</v>
      </c>
      <c r="FA73" s="18" t="s">
        <v>144</v>
      </c>
      <c r="FB73" s="18" t="s">
        <v>5161</v>
      </c>
    </row>
    <row r="74" spans="1:158" ht="10.5" customHeight="1" x14ac:dyDescent="0.2">
      <c r="A74" s="16">
        <v>41</v>
      </c>
      <c r="B74" s="16" t="s">
        <v>1064</v>
      </c>
      <c r="C74" s="16" t="s">
        <v>1063</v>
      </c>
      <c r="D74" s="16">
        <v>103340</v>
      </c>
      <c r="E74" s="16" t="s">
        <v>6657</v>
      </c>
      <c r="F74" s="18" t="s">
        <v>1063</v>
      </c>
      <c r="G74" s="18" t="s">
        <v>106</v>
      </c>
      <c r="H74" s="15" t="s">
        <v>5127</v>
      </c>
      <c r="I74" s="18">
        <v>5</v>
      </c>
      <c r="J74" s="18">
        <v>4</v>
      </c>
      <c r="K74" s="18">
        <v>1</v>
      </c>
      <c r="L74" s="18">
        <v>0</v>
      </c>
      <c r="M74" s="18" t="s">
        <v>5121</v>
      </c>
      <c r="N74" s="18" t="s">
        <v>5568</v>
      </c>
      <c r="O74" s="18">
        <v>46282</v>
      </c>
      <c r="T74" s="18" t="s">
        <v>5122</v>
      </c>
      <c r="U74" s="18" t="s">
        <v>5123</v>
      </c>
      <c r="V74" s="18" t="s">
        <v>106</v>
      </c>
      <c r="W74" s="18" t="s">
        <v>5211</v>
      </c>
      <c r="Y74" s="18" t="s">
        <v>5232</v>
      </c>
      <c r="Z74" s="18" t="s">
        <v>106</v>
      </c>
      <c r="AA74" s="18" t="s">
        <v>5267</v>
      </c>
      <c r="AC74" s="18" t="s">
        <v>5127</v>
      </c>
      <c r="AD74" s="18" t="s">
        <v>5127</v>
      </c>
      <c r="AE74" s="18" t="s">
        <v>5127</v>
      </c>
      <c r="AF74" s="18" t="s">
        <v>5127</v>
      </c>
      <c r="AG74" s="18" t="s">
        <v>5127</v>
      </c>
      <c r="AH74" s="18" t="s">
        <v>5127</v>
      </c>
      <c r="AI74" s="18">
        <v>1</v>
      </c>
      <c r="AK74" s="18" t="s">
        <v>5164</v>
      </c>
      <c r="AN74" s="18">
        <v>288</v>
      </c>
      <c r="AO74" s="18" t="s">
        <v>5391</v>
      </c>
      <c r="AP74" s="18" t="s">
        <v>5456</v>
      </c>
      <c r="AQ74" s="18" t="s">
        <v>5252</v>
      </c>
      <c r="AR74" s="18" t="s">
        <v>5168</v>
      </c>
      <c r="AT74" s="17">
        <f>(365*D74*0.7)/1000</f>
        <v>26403.37</v>
      </c>
      <c r="AU74" s="17">
        <f t="shared" si="2"/>
        <v>0</v>
      </c>
      <c r="AV74" s="18">
        <v>0</v>
      </c>
      <c r="AW74" s="18">
        <v>0</v>
      </c>
      <c r="AY74" s="18" t="s">
        <v>5569</v>
      </c>
      <c r="BG74" s="18" t="s">
        <v>5375</v>
      </c>
      <c r="BQ74" s="18">
        <v>144</v>
      </c>
      <c r="BR74" s="18">
        <v>50</v>
      </c>
      <c r="BS74" s="18">
        <v>0</v>
      </c>
      <c r="BT74" s="18">
        <v>0</v>
      </c>
      <c r="BU74" s="18">
        <v>0</v>
      </c>
      <c r="BV74" s="18">
        <f>SUM(BQ74:BU74)</f>
        <v>194</v>
      </c>
      <c r="BW74" s="15">
        <f t="shared" si="3"/>
        <v>194</v>
      </c>
      <c r="BY74" s="18" t="s">
        <v>5134</v>
      </c>
      <c r="BZ74" s="18" t="s">
        <v>5192</v>
      </c>
      <c r="CD74" s="18" t="s">
        <v>5127</v>
      </c>
      <c r="CE74" s="18" t="s">
        <v>5127</v>
      </c>
      <c r="CF74" s="18" t="s">
        <v>5135</v>
      </c>
      <c r="CG74" s="18" t="s">
        <v>5570</v>
      </c>
      <c r="CH74" s="18" t="s">
        <v>5241</v>
      </c>
      <c r="CI74" s="18" t="s">
        <v>5138</v>
      </c>
      <c r="CJ74" s="18" t="s">
        <v>5196</v>
      </c>
      <c r="CK74" s="18" t="s">
        <v>5197</v>
      </c>
      <c r="CL74" s="18">
        <v>1</v>
      </c>
      <c r="CM74" s="18">
        <v>0</v>
      </c>
      <c r="CN74" s="18">
        <v>0</v>
      </c>
      <c r="CO74" s="18">
        <v>1</v>
      </c>
      <c r="CP74" s="18">
        <v>0</v>
      </c>
      <c r="CQ74" s="18">
        <v>0</v>
      </c>
      <c r="CR74" s="18">
        <v>0</v>
      </c>
      <c r="CS74" s="18" t="s">
        <v>5141</v>
      </c>
      <c r="CT74" s="18">
        <v>1</v>
      </c>
      <c r="CU74" s="18">
        <v>0</v>
      </c>
      <c r="CV74" s="18">
        <v>2</v>
      </c>
      <c r="CX74" s="18">
        <v>0</v>
      </c>
      <c r="CY74" s="18">
        <v>1</v>
      </c>
      <c r="CZ74" s="18">
        <v>0</v>
      </c>
      <c r="DA74" s="18">
        <v>0</v>
      </c>
      <c r="DB74" s="18">
        <v>1</v>
      </c>
      <c r="DC74" s="18">
        <v>0</v>
      </c>
      <c r="DD74" s="18">
        <v>1</v>
      </c>
      <c r="DE74" s="18">
        <v>0</v>
      </c>
      <c r="DF74" s="18">
        <v>0</v>
      </c>
      <c r="DG74" s="18">
        <v>0</v>
      </c>
      <c r="DH74" s="18">
        <v>0</v>
      </c>
      <c r="DI74" s="18">
        <v>0</v>
      </c>
      <c r="DK74" s="18">
        <v>0</v>
      </c>
      <c r="DL74" s="18">
        <v>0</v>
      </c>
      <c r="DM74" s="18" t="s">
        <v>5127</v>
      </c>
      <c r="DN74" s="18" t="s">
        <v>5172</v>
      </c>
      <c r="DO74" s="18" t="s">
        <v>5143</v>
      </c>
      <c r="DP74" s="18" t="s">
        <v>113</v>
      </c>
      <c r="DQ74" s="18" t="s">
        <v>179</v>
      </c>
      <c r="DS74" s="18" t="s">
        <v>157</v>
      </c>
      <c r="DT74" s="18">
        <v>1</v>
      </c>
      <c r="DU74" s="18">
        <v>1</v>
      </c>
      <c r="DV74" s="18" t="s">
        <v>5571</v>
      </c>
      <c r="DX74" s="18" t="s">
        <v>5222</v>
      </c>
      <c r="DY74" s="18" t="s">
        <v>106</v>
      </c>
      <c r="DZ74" s="18" t="s">
        <v>106</v>
      </c>
      <c r="EA74" s="18" t="s">
        <v>5146</v>
      </c>
      <c r="EB74" s="18">
        <v>0</v>
      </c>
      <c r="EC74" s="18" t="s">
        <v>113</v>
      </c>
      <c r="ED74" s="18" t="s">
        <v>5176</v>
      </c>
      <c r="EE74" s="18" t="s">
        <v>106</v>
      </c>
      <c r="EF74" s="18" t="s">
        <v>106</v>
      </c>
      <c r="EG74" s="18" t="s">
        <v>5326</v>
      </c>
      <c r="EH74" s="18" t="s">
        <v>5149</v>
      </c>
      <c r="EI74" s="18" t="s">
        <v>5150</v>
      </c>
      <c r="EJ74" s="18" t="s">
        <v>5245</v>
      </c>
      <c r="EK74" s="18" t="s">
        <v>113</v>
      </c>
      <c r="EL74" s="18" t="s">
        <v>290</v>
      </c>
      <c r="EM74" s="18" t="s">
        <v>157</v>
      </c>
      <c r="EN74" s="18" t="s">
        <v>113</v>
      </c>
      <c r="EO74" s="18" t="s">
        <v>113</v>
      </c>
      <c r="EP74" s="18" t="s">
        <v>113</v>
      </c>
      <c r="EQ74" s="18" t="s">
        <v>113</v>
      </c>
      <c r="ER74" s="18" t="s">
        <v>5328</v>
      </c>
      <c r="ES74" s="18" t="s">
        <v>5317</v>
      </c>
      <c r="ET74" s="18" t="s">
        <v>5154</v>
      </c>
      <c r="EU74" s="18" t="s">
        <v>5318</v>
      </c>
      <c r="EV74" s="18" t="s">
        <v>5572</v>
      </c>
      <c r="EW74" s="18" t="s">
        <v>5320</v>
      </c>
      <c r="EX74" s="18" t="s">
        <v>5158</v>
      </c>
      <c r="EY74" s="18" t="s">
        <v>5159</v>
      </c>
      <c r="EZ74" s="18" t="s">
        <v>5182</v>
      </c>
      <c r="FA74" s="18" t="s">
        <v>144</v>
      </c>
      <c r="FB74" s="18" t="s">
        <v>5161</v>
      </c>
    </row>
    <row r="75" spans="1:158" ht="10.5" customHeight="1" x14ac:dyDescent="0.2">
      <c r="A75" s="16">
        <v>41</v>
      </c>
      <c r="B75" s="16" t="s">
        <v>3493</v>
      </c>
      <c r="C75" s="16" t="s">
        <v>3494</v>
      </c>
      <c r="D75" s="16">
        <v>15255</v>
      </c>
      <c r="E75" s="16" t="s">
        <v>6658</v>
      </c>
      <c r="H75" s="15" t="s">
        <v>6661</v>
      </c>
      <c r="AT75" s="17">
        <f>(365*D75*0.7)/1000</f>
        <v>3897.6524999999997</v>
      </c>
      <c r="AU75" s="17">
        <f t="shared" si="2"/>
        <v>0</v>
      </c>
      <c r="BW75" s="15">
        <f t="shared" si="3"/>
        <v>0</v>
      </c>
    </row>
    <row r="76" spans="1:158" ht="10.5" customHeight="1" x14ac:dyDescent="0.2">
      <c r="A76" s="16">
        <v>41</v>
      </c>
      <c r="B76" s="16" t="s">
        <v>1082</v>
      </c>
      <c r="C76" s="16" t="s">
        <v>1081</v>
      </c>
      <c r="D76" s="16">
        <v>15174</v>
      </c>
      <c r="E76" s="16" t="s">
        <v>6658</v>
      </c>
      <c r="F76" s="18" t="s">
        <v>1081</v>
      </c>
      <c r="G76" s="18" t="s">
        <v>106</v>
      </c>
      <c r="H76" s="15" t="s">
        <v>5127</v>
      </c>
      <c r="I76" s="18">
        <v>10</v>
      </c>
      <c r="J76" s="18">
        <v>5</v>
      </c>
      <c r="K76" s="18">
        <v>5</v>
      </c>
      <c r="M76" s="18" t="s">
        <v>5183</v>
      </c>
      <c r="N76" s="18" t="s">
        <v>5573</v>
      </c>
      <c r="T76" s="18" t="s">
        <v>111</v>
      </c>
      <c r="U76" s="18" t="s">
        <v>5123</v>
      </c>
      <c r="V76" s="18" t="s">
        <v>113</v>
      </c>
      <c r="W76" s="18" t="s">
        <v>5124</v>
      </c>
      <c r="Y76" s="18" t="s">
        <v>5574</v>
      </c>
      <c r="Z76" s="18" t="s">
        <v>106</v>
      </c>
      <c r="AA76" s="18" t="s">
        <v>5163</v>
      </c>
      <c r="AB76" s="18" t="s">
        <v>179</v>
      </c>
      <c r="AC76" s="18" t="s">
        <v>5127</v>
      </c>
      <c r="AD76" s="18" t="s">
        <v>111</v>
      </c>
      <c r="AE76" s="18" t="s">
        <v>5127</v>
      </c>
      <c r="AF76" s="18" t="s">
        <v>111</v>
      </c>
      <c r="AG76" s="18" t="s">
        <v>5127</v>
      </c>
      <c r="AH76" s="18" t="s">
        <v>111</v>
      </c>
      <c r="AI76" s="18">
        <v>1</v>
      </c>
      <c r="AK76" s="18" t="s">
        <v>5164</v>
      </c>
      <c r="AN76" s="18" t="s">
        <v>5575</v>
      </c>
      <c r="AO76" s="18" t="s">
        <v>5129</v>
      </c>
      <c r="AP76" s="18" t="s">
        <v>5576</v>
      </c>
      <c r="AQ76" s="18" t="s">
        <v>5252</v>
      </c>
      <c r="AR76" s="18" t="s">
        <v>5221</v>
      </c>
      <c r="AT76" s="17">
        <f>(365*D76*0.7)/1000</f>
        <v>3876.9569999999994</v>
      </c>
      <c r="AU76" s="17">
        <f t="shared" si="2"/>
        <v>10</v>
      </c>
      <c r="AV76" s="18">
        <v>10</v>
      </c>
      <c r="AW76" s="18">
        <v>0</v>
      </c>
      <c r="AY76" s="18" t="s">
        <v>164</v>
      </c>
      <c r="AZ76" s="18">
        <v>0</v>
      </c>
      <c r="BA76" s="18">
        <v>0</v>
      </c>
      <c r="BB76" s="18">
        <v>0</v>
      </c>
      <c r="BD76" s="18">
        <v>0</v>
      </c>
      <c r="BE76" s="18">
        <v>0</v>
      </c>
      <c r="BG76" s="18" t="s">
        <v>164</v>
      </c>
      <c r="BH76" s="18">
        <f>600/1000</f>
        <v>0.6</v>
      </c>
      <c r="BI76" s="18">
        <f>1200/1000</f>
        <v>1.2</v>
      </c>
      <c r="BJ76" s="18">
        <f>300/1000</f>
        <v>0.3</v>
      </c>
      <c r="BQ76" s="18">
        <v>51.74</v>
      </c>
      <c r="BR76" s="18">
        <v>70.849999999999994</v>
      </c>
      <c r="BS76" s="18">
        <v>15.221</v>
      </c>
      <c r="BT76" s="18">
        <v>12.52</v>
      </c>
      <c r="BU76" s="18">
        <v>23.577999999999999</v>
      </c>
      <c r="BV76" s="18">
        <f>SUM(BQ76:BU76)</f>
        <v>173.90900000000002</v>
      </c>
      <c r="BW76" s="15">
        <f t="shared" si="3"/>
        <v>173.90900000000002</v>
      </c>
      <c r="BY76" s="18" t="s">
        <v>5134</v>
      </c>
      <c r="BZ76" s="18" t="s">
        <v>5312</v>
      </c>
      <c r="CD76" s="18" t="s">
        <v>5127</v>
      </c>
      <c r="CE76" s="18" t="s">
        <v>5127</v>
      </c>
      <c r="CF76" s="18" t="s">
        <v>5135</v>
      </c>
      <c r="CG76" s="18" t="s">
        <v>5219</v>
      </c>
      <c r="CH76" s="18" t="s">
        <v>5241</v>
      </c>
      <c r="CI76" s="18" t="s">
        <v>5138</v>
      </c>
      <c r="CJ76" s="18" t="s">
        <v>5196</v>
      </c>
      <c r="CK76" s="18" t="s">
        <v>5256</v>
      </c>
      <c r="CL76" s="18">
        <v>1</v>
      </c>
      <c r="CM76" s="18">
        <v>0</v>
      </c>
      <c r="CN76" s="18">
        <v>1</v>
      </c>
      <c r="CO76" s="18">
        <v>1</v>
      </c>
      <c r="CP76" s="18">
        <v>1</v>
      </c>
      <c r="CQ76" s="18">
        <v>1</v>
      </c>
      <c r="CR76" s="18">
        <v>0</v>
      </c>
      <c r="CS76" s="18" t="s">
        <v>5141</v>
      </c>
      <c r="CT76" s="18">
        <v>0</v>
      </c>
      <c r="CU76" s="18">
        <v>0</v>
      </c>
      <c r="CV76" s="18">
        <v>2</v>
      </c>
      <c r="CX76" s="18">
        <v>1</v>
      </c>
      <c r="CY76" s="18">
        <v>1</v>
      </c>
      <c r="CZ76" s="18">
        <v>1</v>
      </c>
      <c r="DA76" s="18">
        <v>0</v>
      </c>
      <c r="DB76" s="18">
        <v>1</v>
      </c>
      <c r="DC76" s="18">
        <v>1</v>
      </c>
      <c r="DD76" s="18">
        <v>0</v>
      </c>
      <c r="DE76" s="18">
        <v>0</v>
      </c>
      <c r="DF76" s="18">
        <v>0</v>
      </c>
      <c r="DG76" s="18">
        <v>1</v>
      </c>
      <c r="DH76" s="18">
        <v>0</v>
      </c>
      <c r="DI76" s="18">
        <v>1</v>
      </c>
      <c r="DK76" s="18">
        <v>0</v>
      </c>
      <c r="DL76" s="18">
        <v>0</v>
      </c>
      <c r="DM76" s="18" t="s">
        <v>5127</v>
      </c>
      <c r="DN76" s="18" t="s">
        <v>5172</v>
      </c>
      <c r="DO76" s="18" t="s">
        <v>5259</v>
      </c>
      <c r="DP76" s="18" t="s">
        <v>113</v>
      </c>
      <c r="DQ76" s="18" t="s">
        <v>179</v>
      </c>
      <c r="DS76" s="18">
        <v>0</v>
      </c>
      <c r="DT76" s="18">
        <v>0</v>
      </c>
      <c r="DU76" s="18">
        <v>1</v>
      </c>
      <c r="DV76" s="18" t="s">
        <v>5403</v>
      </c>
      <c r="DX76" s="18" t="s">
        <v>5222</v>
      </c>
      <c r="DY76" s="18" t="s">
        <v>106</v>
      </c>
      <c r="DZ76" s="18" t="s">
        <v>106</v>
      </c>
      <c r="EA76" s="18" t="s">
        <v>5261</v>
      </c>
      <c r="EB76" s="18" t="s">
        <v>5577</v>
      </c>
      <c r="EC76" s="18" t="s">
        <v>106</v>
      </c>
      <c r="ED76" s="18" t="s">
        <v>5176</v>
      </c>
      <c r="EE76" s="18" t="s">
        <v>106</v>
      </c>
      <c r="EF76" s="18" t="s">
        <v>113</v>
      </c>
      <c r="EG76" s="18" t="s">
        <v>5326</v>
      </c>
      <c r="EH76" s="18" t="s">
        <v>5203</v>
      </c>
      <c r="EI76" s="18" t="s">
        <v>5204</v>
      </c>
      <c r="EJ76" s="18" t="s">
        <v>5304</v>
      </c>
      <c r="EK76" s="18" t="s">
        <v>113</v>
      </c>
      <c r="EL76" s="18" t="s">
        <v>5578</v>
      </c>
      <c r="EN76" s="18" t="s">
        <v>113</v>
      </c>
      <c r="EO76" s="18" t="s">
        <v>113</v>
      </c>
      <c r="EP76" s="18" t="s">
        <v>113</v>
      </c>
      <c r="EQ76" s="18" t="s">
        <v>113</v>
      </c>
      <c r="ER76" s="18" t="s">
        <v>5152</v>
      </c>
      <c r="ES76" s="18" t="s">
        <v>5153</v>
      </c>
      <c r="ET76" s="18" t="s">
        <v>5154</v>
      </c>
      <c r="EU76" s="18" t="s">
        <v>5318</v>
      </c>
      <c r="EV76" s="18" t="s">
        <v>5579</v>
      </c>
      <c r="EW76" s="18" t="s">
        <v>5406</v>
      </c>
      <c r="EX76" s="18" t="s">
        <v>5158</v>
      </c>
      <c r="EY76" s="18" t="s">
        <v>5248</v>
      </c>
      <c r="EZ76" s="18" t="s">
        <v>5160</v>
      </c>
      <c r="FA76" s="18" t="s">
        <v>144</v>
      </c>
      <c r="FB76" s="18" t="s">
        <v>5161</v>
      </c>
    </row>
    <row r="77" spans="1:158" ht="10.5" customHeight="1" x14ac:dyDescent="0.2">
      <c r="A77" s="16">
        <v>41</v>
      </c>
      <c r="B77" s="16" t="s">
        <v>2879</v>
      </c>
      <c r="C77" s="16" t="s">
        <v>2880</v>
      </c>
      <c r="D77" s="16">
        <v>10799</v>
      </c>
      <c r="E77" s="16" t="s">
        <v>6656</v>
      </c>
      <c r="H77" s="15" t="s">
        <v>6661</v>
      </c>
      <c r="AT77" s="17">
        <f>(365*D77*0.7)/1000</f>
        <v>2759.1444999999999</v>
      </c>
      <c r="AU77" s="17">
        <f t="shared" si="2"/>
        <v>0</v>
      </c>
      <c r="BW77" s="15">
        <f t="shared" si="3"/>
        <v>0</v>
      </c>
    </row>
    <row r="78" spans="1:158" ht="10.5" customHeight="1" x14ac:dyDescent="0.2">
      <c r="A78" s="16">
        <v>41</v>
      </c>
      <c r="B78" s="16" t="s">
        <v>1101</v>
      </c>
      <c r="C78" s="16" t="s">
        <v>1100</v>
      </c>
      <c r="D78" s="16">
        <v>21022</v>
      </c>
      <c r="E78" s="16" t="s">
        <v>6658</v>
      </c>
      <c r="F78" s="18" t="s">
        <v>1100</v>
      </c>
      <c r="G78" s="18" t="s">
        <v>106</v>
      </c>
      <c r="H78" s="15" t="s">
        <v>5127</v>
      </c>
      <c r="I78" s="18">
        <v>10</v>
      </c>
      <c r="J78" s="18">
        <v>2</v>
      </c>
      <c r="K78" s="18">
        <v>8</v>
      </c>
      <c r="L78" s="18">
        <v>0</v>
      </c>
      <c r="M78" s="18" t="s">
        <v>5183</v>
      </c>
      <c r="N78" s="18" t="s">
        <v>5580</v>
      </c>
      <c r="O78" s="18">
        <v>45871</v>
      </c>
      <c r="T78" s="18" t="s">
        <v>5382</v>
      </c>
      <c r="U78" s="18" t="s">
        <v>5123</v>
      </c>
      <c r="V78" s="18" t="s">
        <v>106</v>
      </c>
      <c r="W78" s="18" t="s">
        <v>5211</v>
      </c>
      <c r="Y78" s="18" t="s">
        <v>5232</v>
      </c>
      <c r="Z78" s="18" t="s">
        <v>113</v>
      </c>
      <c r="AA78" s="18" t="s">
        <v>5163</v>
      </c>
      <c r="AB78" s="18" t="s">
        <v>179</v>
      </c>
      <c r="AC78" s="18" t="s">
        <v>111</v>
      </c>
      <c r="AD78" s="18" t="s">
        <v>5127</v>
      </c>
      <c r="AE78" s="18" t="s">
        <v>111</v>
      </c>
      <c r="AF78" s="18" t="s">
        <v>111</v>
      </c>
      <c r="AG78" s="18" t="s">
        <v>5127</v>
      </c>
      <c r="AH78" s="18" t="s">
        <v>111</v>
      </c>
      <c r="AI78" s="18">
        <v>1</v>
      </c>
      <c r="AK78" s="18" t="s">
        <v>5128</v>
      </c>
      <c r="AN78" s="18">
        <v>31153</v>
      </c>
      <c r="AO78" s="18" t="s">
        <v>5186</v>
      </c>
      <c r="AP78" s="18" t="s">
        <v>5581</v>
      </c>
      <c r="AQ78" s="18" t="s">
        <v>5582</v>
      </c>
      <c r="AR78" s="18" t="s">
        <v>5168</v>
      </c>
      <c r="AT78" s="17">
        <f>(365*D78*0.7)/1000</f>
        <v>5371.1210000000001</v>
      </c>
      <c r="AU78" s="17">
        <f t="shared" si="2"/>
        <v>6000</v>
      </c>
      <c r="AV78" s="18">
        <v>6000</v>
      </c>
      <c r="AW78" s="18">
        <v>0</v>
      </c>
      <c r="AY78" s="18" t="s">
        <v>5583</v>
      </c>
      <c r="AZ78" s="18">
        <v>0</v>
      </c>
      <c r="BA78" s="18">
        <v>0</v>
      </c>
      <c r="BB78" s="18">
        <v>0</v>
      </c>
      <c r="BD78" s="18">
        <v>0</v>
      </c>
      <c r="BE78" s="18">
        <v>0</v>
      </c>
      <c r="BG78" s="18" t="s">
        <v>5584</v>
      </c>
      <c r="BH78" s="18">
        <v>0</v>
      </c>
      <c r="BI78" s="18">
        <f>500/1000</f>
        <v>0.5</v>
      </c>
      <c r="BJ78" s="18">
        <v>0</v>
      </c>
      <c r="BQ78" s="18">
        <v>5</v>
      </c>
      <c r="BR78" s="18">
        <v>8</v>
      </c>
      <c r="BS78" s="18">
        <v>4</v>
      </c>
      <c r="BT78" s="18">
        <v>9</v>
      </c>
      <c r="BU78" s="18">
        <v>4</v>
      </c>
      <c r="BV78" s="18">
        <v>31</v>
      </c>
      <c r="BW78" s="15">
        <f t="shared" si="3"/>
        <v>30</v>
      </c>
      <c r="BY78" s="18" t="s">
        <v>5134</v>
      </c>
      <c r="BZ78" s="18" t="s">
        <v>5312</v>
      </c>
      <c r="CD78" s="18" t="s">
        <v>5127</v>
      </c>
      <c r="CE78" s="18" t="s">
        <v>111</v>
      </c>
      <c r="CF78" s="18" t="s">
        <v>5135</v>
      </c>
      <c r="CG78" s="18" t="s">
        <v>5193</v>
      </c>
      <c r="CH78" s="18" t="s">
        <v>5137</v>
      </c>
      <c r="CI78" s="18" t="s">
        <v>5138</v>
      </c>
      <c r="CJ78" s="18" t="s">
        <v>5196</v>
      </c>
      <c r="CK78" s="18" t="s">
        <v>179</v>
      </c>
      <c r="CL78" s="18">
        <v>1</v>
      </c>
      <c r="CM78" s="18">
        <v>0</v>
      </c>
      <c r="CN78" s="18">
        <v>0</v>
      </c>
      <c r="CO78" s="18">
        <v>2</v>
      </c>
      <c r="CP78" s="18">
        <v>0</v>
      </c>
      <c r="CQ78" s="18">
        <v>1</v>
      </c>
      <c r="CR78" s="18">
        <v>0</v>
      </c>
      <c r="CS78" s="18" t="s">
        <v>5141</v>
      </c>
      <c r="CT78" s="18">
        <v>0</v>
      </c>
      <c r="CU78" s="18">
        <v>0</v>
      </c>
      <c r="CV78" s="18">
        <v>0</v>
      </c>
      <c r="CX78" s="18">
        <v>1</v>
      </c>
      <c r="CY78" s="18">
        <v>0</v>
      </c>
      <c r="CZ78" s="18">
        <v>1</v>
      </c>
      <c r="DA78" s="18">
        <v>1</v>
      </c>
      <c r="DB78" s="18">
        <v>0</v>
      </c>
      <c r="DC78" s="18">
        <v>1</v>
      </c>
      <c r="DD78" s="18">
        <v>0</v>
      </c>
      <c r="DE78" s="18">
        <v>1</v>
      </c>
      <c r="DF78" s="18" t="s">
        <v>5141</v>
      </c>
      <c r="DG78" s="18">
        <v>1</v>
      </c>
      <c r="DH78" s="18">
        <v>1</v>
      </c>
      <c r="DI78" s="18" t="s">
        <v>5141</v>
      </c>
      <c r="DK78" s="18">
        <v>0</v>
      </c>
      <c r="DL78" s="18">
        <v>1</v>
      </c>
      <c r="DM78" s="18" t="s">
        <v>5127</v>
      </c>
      <c r="DN78" s="18" t="s">
        <v>5172</v>
      </c>
      <c r="DO78" s="18" t="s">
        <v>5585</v>
      </c>
      <c r="DP78" s="18" t="s">
        <v>113</v>
      </c>
      <c r="DQ78" s="18" t="s">
        <v>5132</v>
      </c>
      <c r="DS78" s="18">
        <v>0</v>
      </c>
      <c r="DT78" s="18">
        <v>0</v>
      </c>
      <c r="DU78" s="18">
        <v>1</v>
      </c>
      <c r="DV78" s="18" t="s">
        <v>5444</v>
      </c>
      <c r="DX78" s="18" t="s">
        <v>5222</v>
      </c>
      <c r="DY78" s="18" t="s">
        <v>113</v>
      </c>
      <c r="DZ78" s="18" t="s">
        <v>113</v>
      </c>
      <c r="EA78" s="18" t="s">
        <v>5586</v>
      </c>
      <c r="EB78" s="18">
        <v>372</v>
      </c>
      <c r="EC78" s="18" t="s">
        <v>106</v>
      </c>
      <c r="ED78" s="18" t="s">
        <v>5147</v>
      </c>
      <c r="EE78" s="18" t="s">
        <v>106</v>
      </c>
      <c r="EF78" s="18" t="s">
        <v>113</v>
      </c>
      <c r="EG78" s="18" t="s">
        <v>5148</v>
      </c>
      <c r="EH78" s="18" t="s">
        <v>5203</v>
      </c>
      <c r="EI78" s="18" t="s">
        <v>5303</v>
      </c>
      <c r="EJ78" s="18" t="s">
        <v>5245</v>
      </c>
      <c r="EK78" s="18" t="s">
        <v>113</v>
      </c>
      <c r="EL78" s="18" t="s">
        <v>5587</v>
      </c>
      <c r="EM78" s="18" t="s">
        <v>5227</v>
      </c>
      <c r="EN78" s="18" t="s">
        <v>113</v>
      </c>
      <c r="EO78" s="18" t="s">
        <v>113</v>
      </c>
      <c r="EP78" s="18" t="s">
        <v>113</v>
      </c>
      <c r="EQ78" s="18" t="s">
        <v>113</v>
      </c>
      <c r="ER78" s="18" t="s">
        <v>5152</v>
      </c>
      <c r="ES78" s="18" t="s">
        <v>5153</v>
      </c>
      <c r="ET78" s="18" t="s">
        <v>5154</v>
      </c>
      <c r="EU78" s="18" t="s">
        <v>5318</v>
      </c>
      <c r="EV78" s="18" t="s">
        <v>5379</v>
      </c>
      <c r="EW78" s="18" t="s">
        <v>5291</v>
      </c>
      <c r="EX78" s="18" t="s">
        <v>5158</v>
      </c>
      <c r="EY78" s="18" t="s">
        <v>5248</v>
      </c>
      <c r="EZ78" s="18" t="s">
        <v>5160</v>
      </c>
      <c r="FA78" s="18" t="s">
        <v>144</v>
      </c>
      <c r="FB78" s="18" t="s">
        <v>5161</v>
      </c>
    </row>
    <row r="79" spans="1:158" ht="10.5" customHeight="1" x14ac:dyDescent="0.2">
      <c r="A79" s="16">
        <v>41</v>
      </c>
      <c r="B79" s="16" t="s">
        <v>1122</v>
      </c>
      <c r="C79" s="16" t="s">
        <v>1121</v>
      </c>
      <c r="D79" s="16">
        <v>14796</v>
      </c>
      <c r="E79" s="16" t="s">
        <v>6656</v>
      </c>
      <c r="F79" s="18" t="s">
        <v>1121</v>
      </c>
      <c r="G79" s="18" t="s">
        <v>106</v>
      </c>
      <c r="H79" s="15" t="s">
        <v>5127</v>
      </c>
      <c r="I79" s="18">
        <v>17</v>
      </c>
      <c r="J79" s="18">
        <v>7</v>
      </c>
      <c r="K79" s="18">
        <v>10</v>
      </c>
      <c r="L79" s="18">
        <v>0</v>
      </c>
      <c r="M79" s="18" t="s">
        <v>5230</v>
      </c>
      <c r="N79" s="18" t="s">
        <v>5588</v>
      </c>
      <c r="O79" s="18">
        <v>46807</v>
      </c>
      <c r="T79" s="18" t="s">
        <v>5532</v>
      </c>
      <c r="U79" s="18" t="s">
        <v>5250</v>
      </c>
      <c r="V79" s="18" t="s">
        <v>106</v>
      </c>
      <c r="W79" s="18" t="s">
        <v>5211</v>
      </c>
      <c r="Y79" s="18" t="s">
        <v>5162</v>
      </c>
      <c r="Z79" s="18" t="s">
        <v>106</v>
      </c>
      <c r="AA79" s="18" t="s">
        <v>5163</v>
      </c>
      <c r="AB79" s="18" t="s">
        <v>179</v>
      </c>
      <c r="AC79" s="18" t="s">
        <v>5127</v>
      </c>
      <c r="AD79" s="18" t="s">
        <v>5127</v>
      </c>
      <c r="AE79" s="18" t="s">
        <v>5127</v>
      </c>
      <c r="AF79" s="18" t="s">
        <v>111</v>
      </c>
      <c r="AG79" s="18" t="s">
        <v>5127</v>
      </c>
      <c r="AH79" s="18" t="s">
        <v>111</v>
      </c>
      <c r="AI79" s="18">
        <v>1</v>
      </c>
      <c r="AK79" s="18" t="s">
        <v>5164</v>
      </c>
      <c r="AN79" s="18">
        <v>0</v>
      </c>
      <c r="AO79" s="18" t="s">
        <v>5186</v>
      </c>
      <c r="AP79" s="18" t="s">
        <v>5589</v>
      </c>
      <c r="AQ79" s="18" t="s">
        <v>164</v>
      </c>
      <c r="AR79" s="18" t="s">
        <v>5168</v>
      </c>
      <c r="AT79" s="17">
        <f>(365*D79*0.7)/1000</f>
        <v>3780.3779999999997</v>
      </c>
      <c r="AU79" s="17">
        <f t="shared" si="2"/>
        <v>120</v>
      </c>
      <c r="AV79" s="18">
        <v>120</v>
      </c>
      <c r="AW79" s="18">
        <v>0</v>
      </c>
      <c r="AY79" s="18" t="s">
        <v>5217</v>
      </c>
      <c r="BB79" s="18">
        <v>700</v>
      </c>
      <c r="BG79" s="18" t="s">
        <v>5238</v>
      </c>
      <c r="BH79" s="18">
        <f>780/1000</f>
        <v>0.78</v>
      </c>
      <c r="BQ79" s="18">
        <v>348</v>
      </c>
      <c r="BR79" s="18">
        <v>185</v>
      </c>
      <c r="BS79" s="18">
        <v>78</v>
      </c>
      <c r="BT79" s="18">
        <v>89</v>
      </c>
      <c r="BU79" s="18">
        <v>1</v>
      </c>
      <c r="BV79" s="18">
        <v>701</v>
      </c>
      <c r="BW79" s="15">
        <f t="shared" si="3"/>
        <v>701</v>
      </c>
      <c r="BY79" s="18" t="s">
        <v>5134</v>
      </c>
      <c r="BZ79" s="18" t="s">
        <v>5312</v>
      </c>
      <c r="CD79" s="18" t="s">
        <v>5127</v>
      </c>
      <c r="CE79" s="18" t="s">
        <v>111</v>
      </c>
      <c r="CF79" s="18" t="s">
        <v>5135</v>
      </c>
      <c r="CG79" s="18" t="s">
        <v>5590</v>
      </c>
      <c r="CH79" s="18" t="s">
        <v>5241</v>
      </c>
      <c r="CI79" s="18" t="s">
        <v>5138</v>
      </c>
      <c r="CJ79" s="18" t="s">
        <v>5196</v>
      </c>
      <c r="CK79" s="18" t="s">
        <v>5197</v>
      </c>
      <c r="CL79" s="18">
        <v>0</v>
      </c>
      <c r="CM79" s="18">
        <v>2</v>
      </c>
      <c r="CN79" s="18">
        <v>0</v>
      </c>
      <c r="CO79" s="18">
        <v>1</v>
      </c>
      <c r="CP79" s="18">
        <v>0</v>
      </c>
      <c r="CQ79" s="18">
        <v>1</v>
      </c>
      <c r="CR79" s="18">
        <v>0</v>
      </c>
      <c r="CS79" s="18" t="s">
        <v>5141</v>
      </c>
      <c r="CT79" s="18">
        <v>1</v>
      </c>
      <c r="CU79" s="18">
        <v>0</v>
      </c>
      <c r="CV79" s="18" t="s">
        <v>5141</v>
      </c>
      <c r="CX79" s="18">
        <v>0</v>
      </c>
      <c r="CY79" s="18">
        <v>0</v>
      </c>
      <c r="CZ79" s="18">
        <v>1</v>
      </c>
      <c r="DA79" s="18">
        <v>0</v>
      </c>
      <c r="DB79" s="18">
        <v>1</v>
      </c>
      <c r="DC79" s="18">
        <v>1</v>
      </c>
      <c r="DD79" s="18">
        <v>0</v>
      </c>
      <c r="DE79" s="18">
        <v>0</v>
      </c>
      <c r="DF79" s="18" t="s">
        <v>5141</v>
      </c>
      <c r="DG79" s="18">
        <v>0</v>
      </c>
      <c r="DH79" s="18">
        <v>0</v>
      </c>
      <c r="DI79" s="18" t="s">
        <v>5141</v>
      </c>
      <c r="DK79" s="18">
        <v>0</v>
      </c>
      <c r="DL79" s="18">
        <v>1</v>
      </c>
      <c r="DM79" s="18" t="s">
        <v>5127</v>
      </c>
      <c r="DN79" s="18" t="s">
        <v>5172</v>
      </c>
      <c r="DO79" s="18" t="s">
        <v>5591</v>
      </c>
      <c r="DP79" s="18" t="s">
        <v>113</v>
      </c>
      <c r="DS79" s="18">
        <v>0</v>
      </c>
      <c r="DT79" s="18">
        <v>1</v>
      </c>
      <c r="DU79" s="18">
        <v>0</v>
      </c>
      <c r="DV79" s="18" t="s">
        <v>5592</v>
      </c>
      <c r="DX79" s="18" t="s">
        <v>5201</v>
      </c>
      <c r="DY79" s="18" t="s">
        <v>106</v>
      </c>
      <c r="DZ79" s="18" t="s">
        <v>113</v>
      </c>
      <c r="EA79" s="18" t="s">
        <v>5202</v>
      </c>
      <c r="EB79" s="18">
        <v>701</v>
      </c>
      <c r="EC79" s="18" t="s">
        <v>106</v>
      </c>
      <c r="ED79" s="18" t="s">
        <v>5176</v>
      </c>
      <c r="EE79" s="18" t="s">
        <v>106</v>
      </c>
      <c r="EF79" s="18" t="s">
        <v>113</v>
      </c>
      <c r="EG79" s="18" t="s">
        <v>5148</v>
      </c>
      <c r="EH79" s="18" t="s">
        <v>5203</v>
      </c>
      <c r="EI79" s="18" t="s">
        <v>5204</v>
      </c>
      <c r="EJ79" s="18" t="s">
        <v>5287</v>
      </c>
      <c r="EK79" s="18" t="s">
        <v>113</v>
      </c>
      <c r="EN79" s="18" t="s">
        <v>113</v>
      </c>
      <c r="EO79" s="18" t="s">
        <v>113</v>
      </c>
      <c r="EP79" s="18" t="s">
        <v>113</v>
      </c>
      <c r="EQ79" s="18" t="s">
        <v>113</v>
      </c>
      <c r="ER79" s="18" t="s">
        <v>5206</v>
      </c>
      <c r="ES79" s="18" t="s">
        <v>5153</v>
      </c>
      <c r="ET79" s="18" t="s">
        <v>5154</v>
      </c>
      <c r="EU79" s="18" t="s">
        <v>5155</v>
      </c>
      <c r="EV79" s="18" t="s">
        <v>5469</v>
      </c>
      <c r="EW79" s="18" t="s">
        <v>5593</v>
      </c>
      <c r="EX79" s="18" t="s">
        <v>5158</v>
      </c>
      <c r="EY79" s="18" t="s">
        <v>5229</v>
      </c>
      <c r="EZ79" s="18" t="s">
        <v>5160</v>
      </c>
      <c r="FA79" s="18" t="s">
        <v>144</v>
      </c>
      <c r="FB79" s="18" t="s">
        <v>5161</v>
      </c>
    </row>
    <row r="80" spans="1:158" ht="10.5" customHeight="1" x14ac:dyDescent="0.2">
      <c r="A80" s="16">
        <v>41</v>
      </c>
      <c r="B80" s="16" t="s">
        <v>1145</v>
      </c>
      <c r="C80" s="16" t="s">
        <v>1144</v>
      </c>
      <c r="D80" s="16">
        <v>24159</v>
      </c>
      <c r="E80" s="16" t="s">
        <v>6658</v>
      </c>
      <c r="F80" s="18" t="s">
        <v>1144</v>
      </c>
      <c r="G80" s="18" t="s">
        <v>106</v>
      </c>
      <c r="H80" s="15" t="s">
        <v>5127</v>
      </c>
      <c r="I80" s="18">
        <v>17</v>
      </c>
      <c r="J80" s="18">
        <v>12</v>
      </c>
      <c r="K80" s="18">
        <v>5</v>
      </c>
      <c r="L80" s="18">
        <v>0</v>
      </c>
      <c r="M80" s="18" t="s">
        <v>5183</v>
      </c>
      <c r="N80" s="18">
        <v>138215202</v>
      </c>
      <c r="O80" s="18">
        <v>46249</v>
      </c>
      <c r="T80" s="18" t="s">
        <v>111</v>
      </c>
      <c r="U80" s="18" t="s">
        <v>5250</v>
      </c>
      <c r="V80" s="18" t="s">
        <v>113</v>
      </c>
      <c r="W80" s="18" t="s">
        <v>5124</v>
      </c>
      <c r="Y80" s="18" t="s">
        <v>5232</v>
      </c>
      <c r="Z80" s="18" t="s">
        <v>106</v>
      </c>
      <c r="AA80" s="18" t="s">
        <v>5163</v>
      </c>
      <c r="AB80" s="18" t="s">
        <v>179</v>
      </c>
      <c r="AC80" s="18" t="s">
        <v>5127</v>
      </c>
      <c r="AD80" s="18" t="s">
        <v>111</v>
      </c>
      <c r="AE80" s="18" t="s">
        <v>5127</v>
      </c>
      <c r="AF80" s="18" t="s">
        <v>111</v>
      </c>
      <c r="AG80" s="18" t="s">
        <v>5127</v>
      </c>
      <c r="AH80" s="18" t="s">
        <v>5127</v>
      </c>
      <c r="AI80" s="18">
        <v>3</v>
      </c>
      <c r="AK80" s="18" t="s">
        <v>5164</v>
      </c>
      <c r="AN80" s="18">
        <v>840</v>
      </c>
      <c r="AO80" s="18" t="s">
        <v>5129</v>
      </c>
      <c r="AP80" s="18" t="s">
        <v>5594</v>
      </c>
      <c r="AQ80" s="18" t="s">
        <v>5252</v>
      </c>
      <c r="AR80" s="18" t="s">
        <v>5464</v>
      </c>
      <c r="AT80" s="17">
        <f>(365*D80*0.7)/1000</f>
        <v>6172.6244999999999</v>
      </c>
      <c r="AU80" s="17">
        <f t="shared" si="2"/>
        <v>420</v>
      </c>
      <c r="AV80" s="18">
        <v>420</v>
      </c>
      <c r="AW80" s="18">
        <v>0</v>
      </c>
      <c r="AY80" s="18" t="s">
        <v>164</v>
      </c>
      <c r="AZ80" s="18">
        <v>0</v>
      </c>
      <c r="BA80" s="18">
        <v>0</v>
      </c>
      <c r="BB80" s="18">
        <v>0</v>
      </c>
      <c r="BD80" s="18">
        <v>0</v>
      </c>
      <c r="BE80" s="18">
        <v>0</v>
      </c>
      <c r="BG80" s="18" t="s">
        <v>5169</v>
      </c>
      <c r="BH80" s="18">
        <v>0</v>
      </c>
      <c r="BI80" s="18">
        <v>0</v>
      </c>
      <c r="BJ80" s="18">
        <v>0</v>
      </c>
      <c r="BQ80" s="18">
        <v>70</v>
      </c>
      <c r="BR80" s="18">
        <v>70</v>
      </c>
      <c r="BS80" s="18">
        <v>70</v>
      </c>
      <c r="BT80" s="18">
        <v>70</v>
      </c>
      <c r="BU80" s="18">
        <v>70</v>
      </c>
      <c r="BV80" s="18">
        <f>SUM(BQ80:BU80)</f>
        <v>350</v>
      </c>
      <c r="BW80" s="15">
        <f t="shared" si="3"/>
        <v>350</v>
      </c>
      <c r="BY80" s="18" t="s">
        <v>5595</v>
      </c>
      <c r="BZ80" s="18" t="s">
        <v>193</v>
      </c>
      <c r="CD80" s="18" t="s">
        <v>5127</v>
      </c>
      <c r="CE80" s="18" t="s">
        <v>5127</v>
      </c>
      <c r="CF80" s="18" t="s">
        <v>5282</v>
      </c>
      <c r="CG80" s="18" t="s">
        <v>5570</v>
      </c>
      <c r="CH80" s="18" t="s">
        <v>111</v>
      </c>
      <c r="CI80" s="18" t="s">
        <v>5138</v>
      </c>
      <c r="CJ80" s="18" t="s">
        <v>5139</v>
      </c>
      <c r="CK80" s="18" t="s">
        <v>5197</v>
      </c>
      <c r="CL80" s="18">
        <v>3</v>
      </c>
      <c r="CM80" s="18">
        <v>2</v>
      </c>
      <c r="CN80" s="18">
        <v>0</v>
      </c>
      <c r="CO80" s="18">
        <v>4</v>
      </c>
      <c r="CP80" s="18">
        <v>1</v>
      </c>
      <c r="CQ80" s="18">
        <v>0</v>
      </c>
      <c r="CR80" s="18">
        <v>0</v>
      </c>
      <c r="CS80" s="18" t="s">
        <v>5141</v>
      </c>
      <c r="CT80" s="18">
        <v>0</v>
      </c>
      <c r="CU80" s="18">
        <v>0</v>
      </c>
      <c r="CV80" s="18">
        <v>0</v>
      </c>
      <c r="CX80" s="18">
        <v>2</v>
      </c>
      <c r="CY80" s="18">
        <v>2</v>
      </c>
      <c r="CZ80" s="18">
        <v>2</v>
      </c>
      <c r="DA80" s="18">
        <v>2</v>
      </c>
      <c r="DB80" s="18">
        <v>2</v>
      </c>
      <c r="DC80" s="18">
        <v>2</v>
      </c>
      <c r="DD80" s="18">
        <v>1</v>
      </c>
      <c r="DE80" s="18">
        <v>1</v>
      </c>
      <c r="DF80" s="18" t="s">
        <v>5141</v>
      </c>
      <c r="DG80" s="18">
        <v>1</v>
      </c>
      <c r="DH80" s="18">
        <v>1</v>
      </c>
      <c r="DI80" s="18">
        <v>1</v>
      </c>
      <c r="DK80" s="18">
        <v>0</v>
      </c>
      <c r="DL80" s="18">
        <v>1</v>
      </c>
      <c r="DM80" s="18" t="s">
        <v>5127</v>
      </c>
      <c r="DN80" s="18" t="s">
        <v>5172</v>
      </c>
      <c r="DO80" s="18" t="s">
        <v>5259</v>
      </c>
      <c r="DP80" s="18" t="s">
        <v>106</v>
      </c>
      <c r="DQ80" s="18" t="s">
        <v>5132</v>
      </c>
      <c r="DS80" s="18">
        <v>0</v>
      </c>
      <c r="DT80" s="18">
        <v>1</v>
      </c>
      <c r="DU80" s="18">
        <v>1</v>
      </c>
      <c r="DV80" s="18" t="s">
        <v>5174</v>
      </c>
      <c r="DX80" s="18" t="s">
        <v>5145</v>
      </c>
      <c r="DY80" s="18" t="s">
        <v>106</v>
      </c>
      <c r="DZ80" s="18" t="s">
        <v>106</v>
      </c>
      <c r="EA80" s="18" t="s">
        <v>5202</v>
      </c>
      <c r="EB80" s="18">
        <v>420</v>
      </c>
      <c r="EC80" s="18" t="s">
        <v>106</v>
      </c>
      <c r="ED80" s="18" t="s">
        <v>5147</v>
      </c>
      <c r="EE80" s="18" t="s">
        <v>113</v>
      </c>
      <c r="EF80" s="18" t="s">
        <v>113</v>
      </c>
      <c r="EG80" s="18" t="s">
        <v>5148</v>
      </c>
      <c r="EH80" s="18" t="s">
        <v>5203</v>
      </c>
      <c r="EI80" s="18" t="s">
        <v>5204</v>
      </c>
      <c r="EJ80" s="18" t="s">
        <v>179</v>
      </c>
      <c r="EK80" s="18" t="s">
        <v>113</v>
      </c>
      <c r="EN80" s="18" t="s">
        <v>113</v>
      </c>
      <c r="EO80" s="18" t="s">
        <v>113</v>
      </c>
      <c r="EP80" s="18" t="s">
        <v>113</v>
      </c>
      <c r="EQ80" s="18" t="s">
        <v>113</v>
      </c>
      <c r="ER80" s="18" t="s">
        <v>5152</v>
      </c>
      <c r="ES80" s="18" t="s">
        <v>5153</v>
      </c>
      <c r="ET80" s="18" t="s">
        <v>5154</v>
      </c>
      <c r="EU80" s="18" t="s">
        <v>5289</v>
      </c>
      <c r="EV80" s="18" t="s">
        <v>5596</v>
      </c>
      <c r="EW80" s="18" t="s">
        <v>179</v>
      </c>
      <c r="EX80" s="18" t="s">
        <v>5158</v>
      </c>
      <c r="EY80" s="18" t="s">
        <v>5597</v>
      </c>
      <c r="EZ80" s="18" t="s">
        <v>5182</v>
      </c>
      <c r="FA80" s="18" t="s">
        <v>144</v>
      </c>
      <c r="FB80" s="18" t="s">
        <v>5161</v>
      </c>
    </row>
    <row r="81" spans="1:158" ht="10.5" customHeight="1" x14ac:dyDescent="0.2">
      <c r="A81" s="16">
        <v>41</v>
      </c>
      <c r="B81" s="16" t="s">
        <v>1156</v>
      </c>
      <c r="C81" s="16" t="s">
        <v>1155</v>
      </c>
      <c r="D81" s="16">
        <v>17567</v>
      </c>
      <c r="E81" s="16" t="s">
        <v>6658</v>
      </c>
      <c r="F81" s="18" t="s">
        <v>1155</v>
      </c>
      <c r="G81" s="18" t="s">
        <v>113</v>
      </c>
      <c r="H81" s="15" t="s">
        <v>111</v>
      </c>
      <c r="AT81" s="17">
        <f>(365*D81*0.7)/1000</f>
        <v>4488.3684999999996</v>
      </c>
      <c r="AU81" s="17">
        <f t="shared" si="2"/>
        <v>0</v>
      </c>
      <c r="BW81" s="15">
        <f t="shared" si="3"/>
        <v>0</v>
      </c>
    </row>
    <row r="82" spans="1:158" ht="10.5" customHeight="1" x14ac:dyDescent="0.2">
      <c r="A82" s="16">
        <v>41</v>
      </c>
      <c r="B82" s="16" t="s">
        <v>1177</v>
      </c>
      <c r="C82" s="16" t="s">
        <v>388</v>
      </c>
      <c r="D82" s="16">
        <v>364104</v>
      </c>
      <c r="E82" s="16" t="s">
        <v>6659</v>
      </c>
      <c r="F82" s="18" t="s">
        <v>388</v>
      </c>
      <c r="G82" s="18" t="s">
        <v>106</v>
      </c>
      <c r="H82" s="15" t="s">
        <v>5127</v>
      </c>
      <c r="I82" s="18">
        <v>23</v>
      </c>
      <c r="J82" s="18">
        <v>21</v>
      </c>
      <c r="K82" s="18">
        <v>2</v>
      </c>
      <c r="L82" s="18">
        <v>0</v>
      </c>
      <c r="M82" s="18" t="s">
        <v>5183</v>
      </c>
      <c r="N82" s="18" t="s">
        <v>5598</v>
      </c>
      <c r="O82" s="18">
        <v>47673</v>
      </c>
      <c r="T82" s="18" t="s">
        <v>111</v>
      </c>
      <c r="U82" s="18" t="s">
        <v>5185</v>
      </c>
      <c r="V82" s="18" t="s">
        <v>106</v>
      </c>
      <c r="W82" s="18" t="s">
        <v>5211</v>
      </c>
      <c r="Y82" s="18" t="s">
        <v>5162</v>
      </c>
      <c r="Z82" s="18" t="s">
        <v>106</v>
      </c>
      <c r="AA82" s="18" t="s">
        <v>5163</v>
      </c>
      <c r="AB82" s="18" t="s">
        <v>179</v>
      </c>
      <c r="AC82" s="18" t="s">
        <v>5127</v>
      </c>
      <c r="AD82" s="18" t="s">
        <v>5127</v>
      </c>
      <c r="AE82" s="18" t="s">
        <v>5127</v>
      </c>
      <c r="AF82" s="18" t="s">
        <v>5127</v>
      </c>
      <c r="AG82" s="18" t="s">
        <v>5127</v>
      </c>
      <c r="AH82" s="18" t="s">
        <v>5127</v>
      </c>
      <c r="AI82" s="18">
        <v>1</v>
      </c>
      <c r="AK82" s="18" t="s">
        <v>5164</v>
      </c>
      <c r="AN82" s="18">
        <v>544</v>
      </c>
      <c r="AO82" s="18" t="s">
        <v>5186</v>
      </c>
      <c r="AP82" s="18" t="s">
        <v>5599</v>
      </c>
      <c r="AQ82" s="18" t="s">
        <v>5600</v>
      </c>
      <c r="AR82" s="18" t="s">
        <v>5168</v>
      </c>
      <c r="AT82" s="17">
        <f>(365*D82*0.7)/1000</f>
        <v>93028.572</v>
      </c>
      <c r="AU82" s="17">
        <f t="shared" si="2"/>
        <v>118</v>
      </c>
      <c r="AV82" s="18">
        <v>118</v>
      </c>
      <c r="AW82" s="18">
        <v>0</v>
      </c>
      <c r="AY82" s="18" t="s">
        <v>5601</v>
      </c>
      <c r="AZ82" s="18">
        <v>0</v>
      </c>
      <c r="BA82" s="18">
        <v>0</v>
      </c>
      <c r="BB82" s="18">
        <v>0</v>
      </c>
      <c r="BD82" s="18">
        <v>0</v>
      </c>
      <c r="BE82" s="18">
        <v>0</v>
      </c>
      <c r="BG82" s="18" t="s">
        <v>5238</v>
      </c>
      <c r="BH82" s="18">
        <v>0</v>
      </c>
      <c r="BI82" s="18">
        <v>0</v>
      </c>
      <c r="BJ82" s="18">
        <v>0</v>
      </c>
      <c r="BQ82" s="18">
        <v>171</v>
      </c>
      <c r="BR82" s="18">
        <v>93</v>
      </c>
      <c r="BS82" s="18">
        <v>43</v>
      </c>
      <c r="BT82" s="18">
        <v>84</v>
      </c>
      <c r="BU82" s="18">
        <v>35</v>
      </c>
      <c r="BV82" s="18">
        <v>426</v>
      </c>
      <c r="BW82" s="15">
        <f t="shared" si="3"/>
        <v>426</v>
      </c>
      <c r="BY82" s="18" t="s">
        <v>5602</v>
      </c>
      <c r="BZ82" s="18" t="s">
        <v>5312</v>
      </c>
      <c r="CD82" s="18" t="s">
        <v>5127</v>
      </c>
      <c r="CE82" s="18" t="s">
        <v>5127</v>
      </c>
      <c r="CF82" s="18" t="s">
        <v>5135</v>
      </c>
      <c r="CG82" s="18" t="s">
        <v>5193</v>
      </c>
      <c r="CH82" s="18" t="s">
        <v>5241</v>
      </c>
      <c r="CI82" s="18" t="s">
        <v>5138</v>
      </c>
      <c r="CJ82" s="18" t="s">
        <v>5196</v>
      </c>
      <c r="CK82" s="18" t="s">
        <v>5197</v>
      </c>
      <c r="CL82" s="18">
        <v>1</v>
      </c>
      <c r="CM82" s="18">
        <v>1</v>
      </c>
      <c r="CN82" s="18">
        <v>1</v>
      </c>
      <c r="CO82" s="18">
        <v>1</v>
      </c>
      <c r="CP82" s="18">
        <v>1</v>
      </c>
      <c r="CQ82" s="18">
        <v>2</v>
      </c>
      <c r="CR82" s="18">
        <v>2</v>
      </c>
      <c r="CS82" s="18" t="s">
        <v>5141</v>
      </c>
      <c r="CT82" s="18">
        <v>2</v>
      </c>
      <c r="CU82" s="18">
        <v>1</v>
      </c>
      <c r="CV82" s="18" t="s">
        <v>5141</v>
      </c>
      <c r="CX82" s="18">
        <v>1</v>
      </c>
      <c r="CY82" s="18">
        <v>0</v>
      </c>
      <c r="CZ82" s="18">
        <v>0</v>
      </c>
      <c r="DA82" s="18">
        <v>0</v>
      </c>
      <c r="DB82" s="18">
        <v>1</v>
      </c>
      <c r="DC82" s="18">
        <v>0</v>
      </c>
      <c r="DD82" s="18">
        <v>1</v>
      </c>
      <c r="DE82" s="18">
        <v>0</v>
      </c>
      <c r="DF82" s="18">
        <v>0</v>
      </c>
      <c r="DG82" s="18">
        <v>1</v>
      </c>
      <c r="DH82" s="18">
        <v>0</v>
      </c>
      <c r="DI82" s="18">
        <v>0</v>
      </c>
      <c r="DK82" s="18">
        <v>0</v>
      </c>
      <c r="DL82" s="18">
        <v>0</v>
      </c>
      <c r="DM82" s="18" t="s">
        <v>5127</v>
      </c>
      <c r="DN82" s="18" t="s">
        <v>5258</v>
      </c>
      <c r="DO82" s="18" t="s">
        <v>5173</v>
      </c>
      <c r="DP82" s="18" t="s">
        <v>113</v>
      </c>
      <c r="DS82" s="18">
        <v>0</v>
      </c>
      <c r="DT82" s="18">
        <v>1</v>
      </c>
      <c r="DU82" s="18">
        <v>0</v>
      </c>
      <c r="DV82" s="18" t="s">
        <v>5260</v>
      </c>
      <c r="DX82" s="18" t="s">
        <v>5201</v>
      </c>
      <c r="DY82" s="18" t="s">
        <v>106</v>
      </c>
      <c r="DZ82" s="18" t="s">
        <v>113</v>
      </c>
      <c r="EA82" s="18" t="s">
        <v>5261</v>
      </c>
      <c r="EB82" s="18">
        <v>426</v>
      </c>
      <c r="EC82" s="18" t="s">
        <v>106</v>
      </c>
      <c r="ED82" s="18" t="s">
        <v>5176</v>
      </c>
      <c r="EE82" s="18" t="s">
        <v>106</v>
      </c>
      <c r="EF82" s="18" t="s">
        <v>113</v>
      </c>
      <c r="EG82" s="18" t="s">
        <v>5603</v>
      </c>
      <c r="EH82" s="18" t="s">
        <v>5203</v>
      </c>
      <c r="EI82" s="18" t="s">
        <v>5204</v>
      </c>
      <c r="EJ82" s="18" t="s">
        <v>5287</v>
      </c>
      <c r="EK82" s="18" t="s">
        <v>113</v>
      </c>
      <c r="EN82" s="18" t="s">
        <v>113</v>
      </c>
      <c r="EO82" s="18" t="s">
        <v>113</v>
      </c>
      <c r="EP82" s="18" t="s">
        <v>106</v>
      </c>
      <c r="EQ82" s="18" t="s">
        <v>113</v>
      </c>
      <c r="ER82" s="18" t="s">
        <v>5206</v>
      </c>
      <c r="ES82" s="18" t="s">
        <v>5153</v>
      </c>
      <c r="ET82" s="18" t="s">
        <v>5154</v>
      </c>
      <c r="EU82" s="18" t="s">
        <v>5318</v>
      </c>
      <c r="EV82" s="18" t="s">
        <v>5566</v>
      </c>
      <c r="EW82" s="18" t="s">
        <v>5247</v>
      </c>
      <c r="EX82" s="18" t="s">
        <v>5158</v>
      </c>
      <c r="EY82" s="18" t="s">
        <v>5597</v>
      </c>
      <c r="EZ82" s="18" t="s">
        <v>5182</v>
      </c>
      <c r="FA82" s="18" t="s">
        <v>144</v>
      </c>
      <c r="FB82" s="18" t="s">
        <v>5161</v>
      </c>
    </row>
    <row r="83" spans="1:158" ht="10.5" customHeight="1" x14ac:dyDescent="0.2">
      <c r="A83" s="16">
        <v>41</v>
      </c>
      <c r="B83" s="16" t="s">
        <v>1177</v>
      </c>
      <c r="C83" s="16" t="s">
        <v>388</v>
      </c>
      <c r="D83" s="16">
        <v>364104</v>
      </c>
      <c r="E83" s="16" t="s">
        <v>6659</v>
      </c>
      <c r="F83" s="18" t="s">
        <v>388</v>
      </c>
      <c r="G83" s="18" t="s">
        <v>106</v>
      </c>
      <c r="H83" s="15" t="s">
        <v>5127</v>
      </c>
      <c r="I83" s="18">
        <v>12</v>
      </c>
      <c r="J83" s="18">
        <v>7</v>
      </c>
      <c r="K83" s="18">
        <v>5</v>
      </c>
      <c r="L83" s="18">
        <v>0</v>
      </c>
      <c r="M83" s="18" t="s">
        <v>5121</v>
      </c>
      <c r="N83" s="18" t="s">
        <v>5604</v>
      </c>
      <c r="T83" s="18" t="s">
        <v>5240</v>
      </c>
      <c r="U83" s="18" t="s">
        <v>5185</v>
      </c>
      <c r="V83" s="18" t="s">
        <v>106</v>
      </c>
      <c r="W83" s="18" t="s">
        <v>5211</v>
      </c>
      <c r="Y83" s="18" t="s">
        <v>5162</v>
      </c>
      <c r="Z83" s="18" t="s">
        <v>106</v>
      </c>
      <c r="AA83" s="18" t="s">
        <v>5163</v>
      </c>
      <c r="AB83" s="18" t="s">
        <v>179</v>
      </c>
      <c r="AC83" s="18" t="s">
        <v>5127</v>
      </c>
      <c r="AD83" s="18" t="s">
        <v>5127</v>
      </c>
      <c r="AE83" s="18" t="s">
        <v>5127</v>
      </c>
      <c r="AF83" s="18" t="s">
        <v>5127</v>
      </c>
      <c r="AG83" s="18" t="s">
        <v>5127</v>
      </c>
      <c r="AH83" s="18" t="s">
        <v>5127</v>
      </c>
      <c r="AI83" s="18">
        <v>1</v>
      </c>
      <c r="AK83" s="18" t="s">
        <v>5164</v>
      </c>
      <c r="AN83" s="18">
        <v>250</v>
      </c>
      <c r="AO83" s="18" t="s">
        <v>5186</v>
      </c>
      <c r="AP83" s="18" t="s">
        <v>5605</v>
      </c>
      <c r="AQ83" s="18" t="s">
        <v>5606</v>
      </c>
      <c r="AR83" s="18" t="s">
        <v>5168</v>
      </c>
      <c r="AT83" s="17">
        <f>(365*D83*0.7)/1000</f>
        <v>93028.572</v>
      </c>
      <c r="AU83" s="17">
        <f t="shared" si="2"/>
        <v>68</v>
      </c>
      <c r="AV83" s="18">
        <v>68</v>
      </c>
      <c r="AW83" s="18">
        <v>0</v>
      </c>
      <c r="AY83" s="18" t="s">
        <v>5607</v>
      </c>
      <c r="AZ83" s="18">
        <v>0</v>
      </c>
      <c r="BA83" s="18">
        <v>0</v>
      </c>
      <c r="BB83" s="18">
        <v>0</v>
      </c>
      <c r="BD83" s="18">
        <v>0</v>
      </c>
      <c r="BE83" s="18">
        <v>0</v>
      </c>
      <c r="BG83" s="18" t="s">
        <v>5527</v>
      </c>
      <c r="BH83" s="18">
        <v>0</v>
      </c>
      <c r="BI83" s="18">
        <v>0</v>
      </c>
      <c r="BJ83" s="18">
        <v>0</v>
      </c>
      <c r="BQ83" s="18">
        <v>75</v>
      </c>
      <c r="BR83" s="18">
        <v>56</v>
      </c>
      <c r="BS83" s="18">
        <v>14</v>
      </c>
      <c r="BT83" s="18">
        <v>36</v>
      </c>
      <c r="BU83" s="18">
        <v>4</v>
      </c>
      <c r="BV83" s="18">
        <v>185</v>
      </c>
      <c r="BW83" s="15">
        <f t="shared" si="3"/>
        <v>185</v>
      </c>
      <c r="BY83" s="18" t="s">
        <v>5134</v>
      </c>
      <c r="BZ83" s="18" t="s">
        <v>5312</v>
      </c>
      <c r="CD83" s="18" t="s">
        <v>5127</v>
      </c>
      <c r="CE83" s="18" t="s">
        <v>111</v>
      </c>
      <c r="CF83" s="18" t="s">
        <v>5135</v>
      </c>
      <c r="CG83" s="18" t="s">
        <v>5193</v>
      </c>
      <c r="CH83" s="18" t="s">
        <v>5241</v>
      </c>
      <c r="CI83" s="18" t="s">
        <v>5138</v>
      </c>
      <c r="CJ83" s="18" t="s">
        <v>5196</v>
      </c>
      <c r="CK83" s="18" t="s">
        <v>5197</v>
      </c>
      <c r="CL83" s="18">
        <v>4</v>
      </c>
      <c r="CM83" s="18">
        <v>0</v>
      </c>
      <c r="CN83" s="18">
        <v>1</v>
      </c>
      <c r="CO83" s="18">
        <v>1</v>
      </c>
      <c r="CP83" s="18">
        <v>0</v>
      </c>
      <c r="CQ83" s="18">
        <v>2</v>
      </c>
      <c r="CR83" s="18">
        <v>2</v>
      </c>
      <c r="CS83" s="18" t="s">
        <v>5141</v>
      </c>
      <c r="CT83" s="18">
        <v>2</v>
      </c>
      <c r="CU83" s="18">
        <v>2</v>
      </c>
      <c r="CV83" s="18" t="s">
        <v>5141</v>
      </c>
      <c r="CX83" s="18">
        <v>0</v>
      </c>
      <c r="CY83" s="18">
        <v>0</v>
      </c>
      <c r="CZ83" s="18">
        <v>1</v>
      </c>
      <c r="DA83" s="18">
        <v>0</v>
      </c>
      <c r="DB83" s="18">
        <v>0</v>
      </c>
      <c r="DC83" s="18">
        <v>0</v>
      </c>
      <c r="DD83" s="18">
        <v>0</v>
      </c>
      <c r="DE83" s="18">
        <v>0</v>
      </c>
      <c r="DF83" s="18">
        <v>0</v>
      </c>
      <c r="DG83" s="18">
        <v>0</v>
      </c>
      <c r="DH83" s="18">
        <v>0</v>
      </c>
      <c r="DI83" s="18">
        <v>0</v>
      </c>
      <c r="DK83" s="18">
        <v>0</v>
      </c>
      <c r="DL83" s="18">
        <v>0</v>
      </c>
      <c r="DM83" s="18" t="s">
        <v>5127</v>
      </c>
      <c r="DN83" s="18" t="s">
        <v>5299</v>
      </c>
      <c r="DO83" s="18" t="s">
        <v>5585</v>
      </c>
      <c r="DP83" s="18" t="s">
        <v>113</v>
      </c>
      <c r="DS83" s="18">
        <v>0</v>
      </c>
      <c r="DT83" s="18">
        <v>1</v>
      </c>
      <c r="DU83" s="18">
        <v>0</v>
      </c>
      <c r="DV83" s="18" t="s">
        <v>5260</v>
      </c>
      <c r="DX83" s="18" t="s">
        <v>5201</v>
      </c>
      <c r="DY83" s="18" t="s">
        <v>106</v>
      </c>
      <c r="DZ83" s="18" t="s">
        <v>113</v>
      </c>
      <c r="EA83" s="18" t="s">
        <v>5202</v>
      </c>
      <c r="EB83" s="18">
        <v>185</v>
      </c>
      <c r="EC83" s="18" t="s">
        <v>106</v>
      </c>
      <c r="ED83" s="18" t="s">
        <v>5176</v>
      </c>
      <c r="EE83" s="18" t="s">
        <v>106</v>
      </c>
      <c r="EF83" s="18" t="s">
        <v>113</v>
      </c>
      <c r="EG83" s="18" t="s">
        <v>5603</v>
      </c>
      <c r="EH83" s="18" t="s">
        <v>5203</v>
      </c>
      <c r="EI83" s="18" t="s">
        <v>5204</v>
      </c>
      <c r="EJ83" s="18" t="s">
        <v>5287</v>
      </c>
      <c r="EK83" s="18" t="s">
        <v>113</v>
      </c>
      <c r="EN83" s="18" t="s">
        <v>113</v>
      </c>
      <c r="EO83" s="18" t="s">
        <v>113</v>
      </c>
      <c r="EP83" s="18" t="s">
        <v>106</v>
      </c>
      <c r="EQ83" s="18" t="s">
        <v>113</v>
      </c>
      <c r="ER83" s="18" t="s">
        <v>5206</v>
      </c>
      <c r="ES83" s="18" t="s">
        <v>5153</v>
      </c>
      <c r="ET83" s="18" t="s">
        <v>5154</v>
      </c>
      <c r="EU83" s="18" t="s">
        <v>5318</v>
      </c>
      <c r="EV83" s="18" t="s">
        <v>5608</v>
      </c>
      <c r="EW83" s="18" t="s">
        <v>5609</v>
      </c>
      <c r="EX83" s="18" t="s">
        <v>5158</v>
      </c>
      <c r="EY83" s="18" t="s">
        <v>5597</v>
      </c>
      <c r="EZ83" s="18" t="s">
        <v>5182</v>
      </c>
      <c r="FA83" s="18" t="s">
        <v>144</v>
      </c>
      <c r="FB83" s="18" t="s">
        <v>5161</v>
      </c>
    </row>
    <row r="84" spans="1:158" ht="10.5" customHeight="1" x14ac:dyDescent="0.2">
      <c r="A84" s="16">
        <v>41</v>
      </c>
      <c r="B84" s="16" t="s">
        <v>1177</v>
      </c>
      <c r="C84" s="16" t="s">
        <v>388</v>
      </c>
      <c r="D84" s="16">
        <v>364104</v>
      </c>
      <c r="E84" s="16" t="s">
        <v>6659</v>
      </c>
      <c r="F84" s="18" t="s">
        <v>388</v>
      </c>
      <c r="G84" s="18" t="s">
        <v>106</v>
      </c>
      <c r="H84" s="15" t="s">
        <v>5127</v>
      </c>
      <c r="I84" s="18">
        <v>15</v>
      </c>
      <c r="J84" s="18">
        <v>6</v>
      </c>
      <c r="K84" s="18">
        <v>9</v>
      </c>
      <c r="L84" s="18">
        <v>0</v>
      </c>
      <c r="M84" s="18" t="s">
        <v>5183</v>
      </c>
      <c r="N84" s="18" t="s">
        <v>5610</v>
      </c>
      <c r="O84" s="18">
        <v>48033</v>
      </c>
      <c r="T84" s="18" t="s">
        <v>5240</v>
      </c>
      <c r="U84" s="18" t="s">
        <v>5185</v>
      </c>
      <c r="V84" s="18" t="s">
        <v>106</v>
      </c>
      <c r="W84" s="18" t="s">
        <v>5211</v>
      </c>
      <c r="Y84" s="18" t="s">
        <v>5162</v>
      </c>
      <c r="Z84" s="18" t="s">
        <v>106</v>
      </c>
      <c r="AA84" s="18" t="s">
        <v>5163</v>
      </c>
      <c r="AB84" s="18" t="s">
        <v>179</v>
      </c>
      <c r="AC84" s="18" t="s">
        <v>5127</v>
      </c>
      <c r="AD84" s="18" t="s">
        <v>5127</v>
      </c>
      <c r="AE84" s="18" t="s">
        <v>5127</v>
      </c>
      <c r="AF84" s="18" t="s">
        <v>5127</v>
      </c>
      <c r="AG84" s="18" t="s">
        <v>5127</v>
      </c>
      <c r="AH84" s="18" t="s">
        <v>5127</v>
      </c>
      <c r="AI84" s="18">
        <v>1</v>
      </c>
      <c r="AK84" s="18" t="s">
        <v>5164</v>
      </c>
      <c r="AN84" s="18">
        <v>535</v>
      </c>
      <c r="AO84" s="18" t="s">
        <v>5186</v>
      </c>
      <c r="AP84" s="18" t="s">
        <v>5611</v>
      </c>
      <c r="AQ84" s="18" t="s">
        <v>5612</v>
      </c>
      <c r="AR84" s="18" t="s">
        <v>5168</v>
      </c>
      <c r="AT84" s="17">
        <f>(365*D84*0.7)/1000</f>
        <v>93028.572</v>
      </c>
      <c r="AU84" s="17">
        <f t="shared" si="2"/>
        <v>105</v>
      </c>
      <c r="AV84" s="18">
        <v>105</v>
      </c>
      <c r="AW84" s="18">
        <v>0</v>
      </c>
      <c r="AY84" s="18" t="s">
        <v>5607</v>
      </c>
      <c r="AZ84" s="18">
        <v>0</v>
      </c>
      <c r="BA84" s="18">
        <v>0</v>
      </c>
      <c r="BB84" s="18">
        <v>0</v>
      </c>
      <c r="BD84" s="18">
        <v>0</v>
      </c>
      <c r="BE84" s="18">
        <v>0</v>
      </c>
      <c r="BG84" s="18" t="s">
        <v>5613</v>
      </c>
      <c r="BH84" s="18">
        <v>0</v>
      </c>
      <c r="BI84" s="18">
        <v>0</v>
      </c>
      <c r="BJ84" s="18">
        <v>0</v>
      </c>
      <c r="BQ84" s="18">
        <v>213</v>
      </c>
      <c r="BR84" s="18">
        <v>132</v>
      </c>
      <c r="BS84" s="18">
        <v>31</v>
      </c>
      <c r="BT84" s="18">
        <v>53</v>
      </c>
      <c r="BU84" s="18">
        <v>3</v>
      </c>
      <c r="BV84" s="18">
        <v>432</v>
      </c>
      <c r="BW84" s="15">
        <f t="shared" si="3"/>
        <v>432</v>
      </c>
      <c r="BY84" s="18" t="s">
        <v>5134</v>
      </c>
      <c r="BZ84" s="18" t="s">
        <v>5312</v>
      </c>
      <c r="CD84" s="18" t="s">
        <v>5127</v>
      </c>
      <c r="CE84" s="18" t="s">
        <v>111</v>
      </c>
      <c r="CF84" s="18" t="s">
        <v>5135</v>
      </c>
      <c r="CG84" s="18" t="s">
        <v>5193</v>
      </c>
      <c r="CH84" s="18" t="s">
        <v>5241</v>
      </c>
      <c r="CI84" s="18" t="s">
        <v>5195</v>
      </c>
      <c r="CJ84" s="18" t="s">
        <v>5196</v>
      </c>
      <c r="CK84" s="18" t="s">
        <v>5197</v>
      </c>
      <c r="CL84" s="18">
        <v>3</v>
      </c>
      <c r="CM84" s="18">
        <v>0</v>
      </c>
      <c r="CN84" s="18">
        <v>1</v>
      </c>
      <c r="CO84" s="18">
        <v>1</v>
      </c>
      <c r="CP84" s="18">
        <v>1</v>
      </c>
      <c r="CQ84" s="18">
        <v>2</v>
      </c>
      <c r="CR84" s="18">
        <v>1</v>
      </c>
      <c r="CS84" s="18" t="s">
        <v>5141</v>
      </c>
      <c r="CT84" s="18">
        <v>2</v>
      </c>
      <c r="CU84" s="18">
        <v>0</v>
      </c>
      <c r="CV84" s="18" t="s">
        <v>5141</v>
      </c>
      <c r="CX84" s="18">
        <v>0</v>
      </c>
      <c r="CY84" s="18">
        <v>0</v>
      </c>
      <c r="CZ84" s="18">
        <v>1</v>
      </c>
      <c r="DA84" s="18">
        <v>0</v>
      </c>
      <c r="DB84" s="18">
        <v>0</v>
      </c>
      <c r="DC84" s="18">
        <v>0</v>
      </c>
      <c r="DD84" s="18">
        <v>0</v>
      </c>
      <c r="DE84" s="18">
        <v>0</v>
      </c>
      <c r="DF84" s="18">
        <v>0</v>
      </c>
      <c r="DG84" s="18">
        <v>0</v>
      </c>
      <c r="DH84" s="18">
        <v>0</v>
      </c>
      <c r="DI84" s="18">
        <v>0</v>
      </c>
      <c r="DK84" s="18">
        <v>0</v>
      </c>
      <c r="DL84" s="18">
        <v>0</v>
      </c>
      <c r="DM84" s="18" t="s">
        <v>5127</v>
      </c>
      <c r="DN84" s="18" t="s">
        <v>5299</v>
      </c>
      <c r="DO84" s="18" t="s">
        <v>5173</v>
      </c>
      <c r="DP84" s="18" t="s">
        <v>113</v>
      </c>
      <c r="DS84" s="18">
        <v>0</v>
      </c>
      <c r="DT84" s="18">
        <v>1</v>
      </c>
      <c r="DU84" s="18">
        <v>1</v>
      </c>
      <c r="DV84" s="18" t="s">
        <v>5444</v>
      </c>
      <c r="DX84" s="18" t="s">
        <v>5201</v>
      </c>
      <c r="DY84" s="18" t="s">
        <v>106</v>
      </c>
      <c r="DZ84" s="18" t="s">
        <v>113</v>
      </c>
      <c r="EA84" s="18" t="s">
        <v>5261</v>
      </c>
      <c r="EB84" s="18">
        <v>430</v>
      </c>
      <c r="EC84" s="18" t="s">
        <v>106</v>
      </c>
      <c r="ED84" s="18" t="s">
        <v>5176</v>
      </c>
      <c r="EE84" s="18" t="s">
        <v>106</v>
      </c>
      <c r="EF84" s="18" t="s">
        <v>113</v>
      </c>
      <c r="EG84" s="18" t="s">
        <v>5603</v>
      </c>
      <c r="EH84" s="18" t="s">
        <v>5203</v>
      </c>
      <c r="EI84" s="18" t="s">
        <v>5204</v>
      </c>
      <c r="EJ84" s="18" t="s">
        <v>5287</v>
      </c>
      <c r="EK84" s="18" t="s">
        <v>113</v>
      </c>
      <c r="EN84" s="18" t="s">
        <v>113</v>
      </c>
      <c r="EO84" s="18" t="s">
        <v>113</v>
      </c>
      <c r="EP84" s="18" t="s">
        <v>106</v>
      </c>
      <c r="EQ84" s="18" t="s">
        <v>113</v>
      </c>
      <c r="ER84" s="18" t="s">
        <v>5206</v>
      </c>
      <c r="ES84" s="18" t="s">
        <v>5153</v>
      </c>
      <c r="ET84" s="18" t="s">
        <v>5154</v>
      </c>
      <c r="EU84" s="18" t="s">
        <v>5328</v>
      </c>
      <c r="EV84" s="18" t="s">
        <v>5290</v>
      </c>
      <c r="EW84" s="18" t="s">
        <v>5614</v>
      </c>
      <c r="EX84" s="18" t="s">
        <v>5158</v>
      </c>
      <c r="EY84" s="18" t="s">
        <v>5615</v>
      </c>
      <c r="EZ84" s="18" t="s">
        <v>5182</v>
      </c>
      <c r="FA84" s="18" t="s">
        <v>144</v>
      </c>
      <c r="FB84" s="18" t="s">
        <v>5161</v>
      </c>
    </row>
    <row r="85" spans="1:158" ht="10.5" customHeight="1" x14ac:dyDescent="0.2">
      <c r="A85" s="16">
        <v>41</v>
      </c>
      <c r="B85" s="16" t="s">
        <v>1177</v>
      </c>
      <c r="C85" s="16" t="s">
        <v>388</v>
      </c>
      <c r="D85" s="16">
        <v>364104</v>
      </c>
      <c r="E85" s="16" t="s">
        <v>6659</v>
      </c>
      <c r="F85" s="18" t="s">
        <v>388</v>
      </c>
      <c r="G85" s="18" t="s">
        <v>106</v>
      </c>
      <c r="H85" s="15" t="s">
        <v>5127</v>
      </c>
      <c r="I85" s="18">
        <v>20</v>
      </c>
      <c r="J85" s="18">
        <v>13</v>
      </c>
      <c r="K85" s="18">
        <v>7</v>
      </c>
      <c r="L85" s="18">
        <v>0</v>
      </c>
      <c r="M85" s="18" t="s">
        <v>5183</v>
      </c>
      <c r="N85" s="18" t="s">
        <v>5616</v>
      </c>
      <c r="O85" s="18">
        <v>48012</v>
      </c>
      <c r="T85" s="18" t="s">
        <v>5617</v>
      </c>
      <c r="U85" s="18" t="s">
        <v>5185</v>
      </c>
      <c r="V85" s="18" t="s">
        <v>106</v>
      </c>
      <c r="W85" s="18" t="s">
        <v>5211</v>
      </c>
      <c r="Y85" s="18" t="s">
        <v>5162</v>
      </c>
      <c r="Z85" s="18" t="s">
        <v>106</v>
      </c>
      <c r="AA85" s="18" t="s">
        <v>5163</v>
      </c>
      <c r="AB85" s="18" t="s">
        <v>179</v>
      </c>
      <c r="AC85" s="18" t="s">
        <v>5127</v>
      </c>
      <c r="AD85" s="18" t="s">
        <v>5127</v>
      </c>
      <c r="AE85" s="18" t="s">
        <v>5127</v>
      </c>
      <c r="AF85" s="18" t="s">
        <v>5127</v>
      </c>
      <c r="AG85" s="18" t="s">
        <v>5127</v>
      </c>
      <c r="AH85" s="18" t="s">
        <v>5127</v>
      </c>
      <c r="AI85" s="18">
        <v>1</v>
      </c>
      <c r="AK85" s="18" t="s">
        <v>5164</v>
      </c>
      <c r="AN85" s="18">
        <v>718</v>
      </c>
      <c r="AO85" s="18" t="s">
        <v>5186</v>
      </c>
      <c r="AP85" s="18" t="s">
        <v>5618</v>
      </c>
      <c r="AQ85" s="18" t="s">
        <v>5619</v>
      </c>
      <c r="AR85" s="18" t="s">
        <v>5168</v>
      </c>
      <c r="AT85" s="17">
        <f>(365*D85*0.7)/1000</f>
        <v>93028.572</v>
      </c>
      <c r="AU85" s="17">
        <f t="shared" si="2"/>
        <v>171</v>
      </c>
      <c r="AV85" s="18">
        <v>171</v>
      </c>
      <c r="AW85" s="18">
        <v>0</v>
      </c>
      <c r="AY85" s="18" t="s">
        <v>5620</v>
      </c>
      <c r="BA85" s="18">
        <v>0</v>
      </c>
      <c r="BB85" s="18">
        <v>0</v>
      </c>
      <c r="BD85" s="18">
        <v>0</v>
      </c>
      <c r="BG85" s="18" t="s">
        <v>5238</v>
      </c>
      <c r="BH85" s="18">
        <v>0</v>
      </c>
      <c r="BI85" s="18">
        <v>0</v>
      </c>
      <c r="BJ85" s="18">
        <v>0</v>
      </c>
      <c r="BQ85" s="18">
        <v>240</v>
      </c>
      <c r="BR85" s="18">
        <v>100</v>
      </c>
      <c r="BS85" s="18">
        <v>260</v>
      </c>
      <c r="BT85" s="18">
        <v>340</v>
      </c>
      <c r="BU85" s="18">
        <v>4</v>
      </c>
      <c r="BV85" s="18">
        <f>SUM(BQ85:BU85)</f>
        <v>944</v>
      </c>
      <c r="BW85" s="15">
        <f t="shared" si="3"/>
        <v>944</v>
      </c>
      <c r="BY85" s="18" t="s">
        <v>5134</v>
      </c>
      <c r="BZ85" s="18" t="s">
        <v>5528</v>
      </c>
      <c r="CD85" s="18" t="s">
        <v>5127</v>
      </c>
      <c r="CE85" s="18" t="s">
        <v>5127</v>
      </c>
      <c r="CF85" s="18" t="s">
        <v>5135</v>
      </c>
      <c r="CG85" s="18" t="s">
        <v>5193</v>
      </c>
      <c r="CH85" s="18" t="s">
        <v>5241</v>
      </c>
      <c r="CI85" s="18" t="s">
        <v>5138</v>
      </c>
      <c r="CJ85" s="18" t="s">
        <v>5196</v>
      </c>
      <c r="CK85" s="18" t="s">
        <v>5197</v>
      </c>
      <c r="CL85" s="18">
        <v>3</v>
      </c>
      <c r="CM85" s="18">
        <v>0</v>
      </c>
      <c r="CN85" s="18">
        <v>0</v>
      </c>
      <c r="CO85" s="18">
        <v>0</v>
      </c>
      <c r="CP85" s="18">
        <v>2</v>
      </c>
      <c r="CQ85" s="18">
        <v>1</v>
      </c>
      <c r="CR85" s="18">
        <v>2</v>
      </c>
      <c r="CS85" s="18" t="s">
        <v>5141</v>
      </c>
      <c r="CT85" s="18">
        <v>2</v>
      </c>
      <c r="CU85" s="18">
        <v>2</v>
      </c>
      <c r="CV85" s="18" t="s">
        <v>5141</v>
      </c>
      <c r="CX85" s="18">
        <v>0</v>
      </c>
      <c r="CY85" s="18">
        <v>0</v>
      </c>
      <c r="CZ85" s="18">
        <v>1</v>
      </c>
      <c r="DA85" s="18">
        <v>0</v>
      </c>
      <c r="DB85" s="18">
        <v>0</v>
      </c>
      <c r="DC85" s="18">
        <v>0</v>
      </c>
      <c r="DD85" s="18">
        <v>0</v>
      </c>
      <c r="DE85" s="18">
        <v>0</v>
      </c>
      <c r="DF85" s="18">
        <v>0</v>
      </c>
      <c r="DG85" s="18">
        <v>0</v>
      </c>
      <c r="DH85" s="18">
        <v>0</v>
      </c>
      <c r="DI85" s="18">
        <v>0</v>
      </c>
      <c r="DK85" s="18">
        <v>0</v>
      </c>
      <c r="DL85" s="18">
        <v>0</v>
      </c>
      <c r="DM85" s="18" t="s">
        <v>5127</v>
      </c>
      <c r="DN85" s="18" t="s">
        <v>5299</v>
      </c>
      <c r="DO85" s="18" t="s">
        <v>5173</v>
      </c>
      <c r="DP85" s="18" t="s">
        <v>113</v>
      </c>
      <c r="DS85" s="18">
        <v>0</v>
      </c>
      <c r="DT85" s="18">
        <v>1</v>
      </c>
      <c r="DU85" s="18">
        <v>0</v>
      </c>
      <c r="DV85" s="18" t="s">
        <v>5260</v>
      </c>
      <c r="DX85" s="18" t="s">
        <v>5201</v>
      </c>
      <c r="DY85" s="18" t="s">
        <v>106</v>
      </c>
      <c r="DZ85" s="18" t="s">
        <v>113</v>
      </c>
      <c r="EA85" s="18" t="s">
        <v>5261</v>
      </c>
      <c r="EB85" s="18">
        <v>547</v>
      </c>
      <c r="EC85" s="18" t="s">
        <v>106</v>
      </c>
      <c r="ED85" s="18" t="s">
        <v>5176</v>
      </c>
      <c r="EE85" s="18" t="s">
        <v>106</v>
      </c>
      <c r="EF85" s="18" t="s">
        <v>106</v>
      </c>
      <c r="EG85" s="18" t="s">
        <v>5603</v>
      </c>
      <c r="EH85" s="18" t="s">
        <v>5203</v>
      </c>
      <c r="EI85" s="18" t="s">
        <v>5204</v>
      </c>
      <c r="EJ85" s="18" t="s">
        <v>5287</v>
      </c>
      <c r="EK85" s="18" t="s">
        <v>113</v>
      </c>
      <c r="EN85" s="18" t="s">
        <v>113</v>
      </c>
      <c r="EO85" s="18" t="s">
        <v>113</v>
      </c>
      <c r="EP85" s="18" t="s">
        <v>106</v>
      </c>
      <c r="EQ85" s="18" t="s">
        <v>113</v>
      </c>
      <c r="ER85" s="18" t="s">
        <v>5206</v>
      </c>
      <c r="ES85" s="18" t="s">
        <v>5153</v>
      </c>
      <c r="ET85" s="18" t="s">
        <v>5154</v>
      </c>
      <c r="EU85" s="18" t="s">
        <v>5155</v>
      </c>
      <c r="EV85" s="18" t="s">
        <v>5621</v>
      </c>
      <c r="EW85" s="18" t="s">
        <v>5614</v>
      </c>
      <c r="EX85" s="18" t="s">
        <v>5158</v>
      </c>
      <c r="EY85" s="18" t="s">
        <v>5597</v>
      </c>
      <c r="EZ85" s="18" t="s">
        <v>5182</v>
      </c>
      <c r="FA85" s="18" t="s">
        <v>144</v>
      </c>
      <c r="FB85" s="18" t="s">
        <v>5161</v>
      </c>
    </row>
    <row r="86" spans="1:158" ht="10.5" customHeight="1" x14ac:dyDescent="0.2">
      <c r="A86" s="16">
        <v>41</v>
      </c>
      <c r="B86" s="16" t="s">
        <v>1177</v>
      </c>
      <c r="C86" s="16" t="s">
        <v>388</v>
      </c>
      <c r="D86" s="16">
        <v>364104</v>
      </c>
      <c r="E86" s="16" t="s">
        <v>6659</v>
      </c>
      <c r="F86" s="18" t="s">
        <v>388</v>
      </c>
      <c r="G86" s="18" t="s">
        <v>106</v>
      </c>
      <c r="H86" s="15" t="s">
        <v>5127</v>
      </c>
      <c r="I86" s="18">
        <v>25</v>
      </c>
      <c r="J86" s="18">
        <v>22</v>
      </c>
      <c r="K86" s="18">
        <v>3</v>
      </c>
      <c r="L86" s="18">
        <v>0</v>
      </c>
      <c r="M86" s="18" t="s">
        <v>5230</v>
      </c>
      <c r="N86" s="18" t="s">
        <v>5622</v>
      </c>
      <c r="O86" s="18">
        <v>47701</v>
      </c>
      <c r="T86" s="18" t="s">
        <v>5240</v>
      </c>
      <c r="U86" s="18" t="s">
        <v>5185</v>
      </c>
      <c r="V86" s="18" t="s">
        <v>106</v>
      </c>
      <c r="W86" s="18" t="s">
        <v>5211</v>
      </c>
      <c r="Y86" s="18" t="s">
        <v>5162</v>
      </c>
      <c r="Z86" s="18" t="s">
        <v>106</v>
      </c>
      <c r="AA86" s="18" t="s">
        <v>5163</v>
      </c>
      <c r="AB86" s="18" t="s">
        <v>179</v>
      </c>
      <c r="AC86" s="18" t="s">
        <v>5127</v>
      </c>
      <c r="AD86" s="18" t="s">
        <v>5127</v>
      </c>
      <c r="AE86" s="18" t="s">
        <v>5127</v>
      </c>
      <c r="AF86" s="18" t="s">
        <v>5127</v>
      </c>
      <c r="AG86" s="18" t="s">
        <v>5127</v>
      </c>
      <c r="AH86" s="18" t="s">
        <v>5127</v>
      </c>
      <c r="AI86" s="18">
        <v>2</v>
      </c>
      <c r="AK86" s="18" t="s">
        <v>5164</v>
      </c>
      <c r="AN86" s="18">
        <v>1245</v>
      </c>
      <c r="AO86" s="18" t="s">
        <v>5186</v>
      </c>
      <c r="AP86" s="18" t="s">
        <v>5623</v>
      </c>
      <c r="AQ86" s="18" t="s">
        <v>5624</v>
      </c>
      <c r="AR86" s="18" t="s">
        <v>5168</v>
      </c>
      <c r="AT86" s="17">
        <f>(365*D86*0.7)/1000</f>
        <v>93028.572</v>
      </c>
      <c r="AU86" s="17">
        <f t="shared" si="2"/>
        <v>169</v>
      </c>
      <c r="AV86" s="18">
        <v>169</v>
      </c>
      <c r="AW86" s="18">
        <v>0</v>
      </c>
      <c r="AY86" s="18" t="s">
        <v>5601</v>
      </c>
      <c r="BA86" s="18">
        <v>0</v>
      </c>
      <c r="BB86" s="18">
        <v>0</v>
      </c>
      <c r="BD86" s="18">
        <v>0</v>
      </c>
      <c r="BG86" s="18" t="s">
        <v>5369</v>
      </c>
      <c r="BH86" s="18">
        <f>1000/1000</f>
        <v>1</v>
      </c>
      <c r="BI86" s="18">
        <v>0</v>
      </c>
      <c r="BJ86" s="18">
        <v>0</v>
      </c>
      <c r="BQ86" s="18">
        <v>466</v>
      </c>
      <c r="BR86" s="18">
        <v>246</v>
      </c>
      <c r="BS86" s="18">
        <v>51</v>
      </c>
      <c r="BT86" s="18">
        <v>300</v>
      </c>
      <c r="BU86" s="18">
        <v>13</v>
      </c>
      <c r="BV86" s="18">
        <v>1076</v>
      </c>
      <c r="BW86" s="15">
        <f t="shared" si="3"/>
        <v>1076</v>
      </c>
      <c r="BY86" s="18" t="s">
        <v>5134</v>
      </c>
      <c r="BZ86" s="18" t="s">
        <v>5395</v>
      </c>
      <c r="CD86" s="18" t="s">
        <v>5127</v>
      </c>
      <c r="CE86" s="18" t="s">
        <v>5127</v>
      </c>
      <c r="CF86" s="18" t="s">
        <v>5135</v>
      </c>
      <c r="CG86" s="18" t="s">
        <v>5193</v>
      </c>
      <c r="CH86" s="18" t="s">
        <v>5241</v>
      </c>
      <c r="CI86" s="18" t="s">
        <v>5195</v>
      </c>
      <c r="CJ86" s="18" t="s">
        <v>5196</v>
      </c>
      <c r="CK86" s="18" t="s">
        <v>5625</v>
      </c>
      <c r="CL86" s="18">
        <v>1</v>
      </c>
      <c r="CM86" s="18">
        <v>1</v>
      </c>
      <c r="CN86" s="18">
        <v>1</v>
      </c>
      <c r="CO86" s="18">
        <v>1</v>
      </c>
      <c r="CP86" s="18">
        <v>2</v>
      </c>
      <c r="CQ86" s="18">
        <v>1</v>
      </c>
      <c r="CR86" s="18">
        <v>2</v>
      </c>
      <c r="CS86" s="18" t="s">
        <v>5141</v>
      </c>
      <c r="CT86" s="18">
        <v>2</v>
      </c>
      <c r="CU86" s="18">
        <v>1</v>
      </c>
      <c r="CV86" s="18" t="s">
        <v>5141</v>
      </c>
      <c r="CX86" s="18">
        <v>0</v>
      </c>
      <c r="CY86" s="18">
        <v>0</v>
      </c>
      <c r="CZ86" s="18">
        <v>0</v>
      </c>
      <c r="DA86" s="18">
        <v>0</v>
      </c>
      <c r="DB86" s="18">
        <v>0</v>
      </c>
      <c r="DC86" s="18">
        <v>0</v>
      </c>
      <c r="DD86" s="18">
        <v>0</v>
      </c>
      <c r="DE86" s="18">
        <v>0</v>
      </c>
      <c r="DF86" s="18">
        <v>0</v>
      </c>
      <c r="DG86" s="18">
        <v>0</v>
      </c>
      <c r="DH86" s="18">
        <v>0</v>
      </c>
      <c r="DI86" s="18">
        <v>0</v>
      </c>
      <c r="DK86" s="18">
        <v>0</v>
      </c>
      <c r="DL86" s="18">
        <v>0</v>
      </c>
      <c r="DM86" s="18" t="s">
        <v>5127</v>
      </c>
      <c r="DN86" s="18" t="s">
        <v>5198</v>
      </c>
      <c r="DO86" s="18" t="s">
        <v>5585</v>
      </c>
      <c r="DP86" s="18" t="s">
        <v>113</v>
      </c>
      <c r="DS86" s="18">
        <v>0</v>
      </c>
      <c r="DT86" s="18">
        <v>1</v>
      </c>
      <c r="DU86" s="18">
        <v>0</v>
      </c>
      <c r="DV86" s="18" t="s">
        <v>5260</v>
      </c>
      <c r="DX86" s="18" t="s">
        <v>5201</v>
      </c>
      <c r="DY86" s="18" t="s">
        <v>106</v>
      </c>
      <c r="DZ86" s="18" t="s">
        <v>113</v>
      </c>
      <c r="EA86" s="18" t="s">
        <v>5261</v>
      </c>
      <c r="EB86" s="18">
        <v>1076</v>
      </c>
      <c r="EC86" s="18" t="s">
        <v>106</v>
      </c>
      <c r="ED86" s="18" t="s">
        <v>5176</v>
      </c>
      <c r="EE86" s="18" t="s">
        <v>106</v>
      </c>
      <c r="EF86" s="18" t="s">
        <v>113</v>
      </c>
      <c r="EG86" s="18" t="s">
        <v>5603</v>
      </c>
      <c r="EH86" s="18" t="s">
        <v>5203</v>
      </c>
      <c r="EI86" s="18" t="s">
        <v>5204</v>
      </c>
      <c r="EJ86" s="18" t="s">
        <v>5287</v>
      </c>
      <c r="EK86" s="18" t="s">
        <v>113</v>
      </c>
      <c r="EN86" s="18" t="s">
        <v>113</v>
      </c>
      <c r="EO86" s="18" t="s">
        <v>113</v>
      </c>
      <c r="EP86" s="18" t="s">
        <v>106</v>
      </c>
      <c r="EQ86" s="18" t="s">
        <v>113</v>
      </c>
      <c r="ER86" s="18" t="s">
        <v>5206</v>
      </c>
      <c r="ES86" s="18" t="s">
        <v>5153</v>
      </c>
      <c r="ET86" s="18" t="s">
        <v>5154</v>
      </c>
      <c r="EU86" s="18" t="s">
        <v>5318</v>
      </c>
      <c r="EV86" s="18" t="s">
        <v>5626</v>
      </c>
      <c r="EW86" s="18" t="s">
        <v>5614</v>
      </c>
      <c r="EX86" s="18" t="s">
        <v>5158</v>
      </c>
      <c r="EY86" s="18" t="s">
        <v>5159</v>
      </c>
      <c r="EZ86" s="18" t="s">
        <v>5182</v>
      </c>
      <c r="FA86" s="18" t="s">
        <v>144</v>
      </c>
      <c r="FB86" s="18" t="s">
        <v>5161</v>
      </c>
    </row>
    <row r="87" spans="1:158" ht="10.5" customHeight="1" x14ac:dyDescent="0.2">
      <c r="A87" s="16">
        <v>41</v>
      </c>
      <c r="B87" s="16" t="s">
        <v>1177</v>
      </c>
      <c r="C87" s="16" t="s">
        <v>388</v>
      </c>
      <c r="D87" s="16">
        <v>364104</v>
      </c>
      <c r="E87" s="16" t="s">
        <v>6659</v>
      </c>
      <c r="F87" s="18" t="s">
        <v>388</v>
      </c>
      <c r="G87" s="18" t="s">
        <v>106</v>
      </c>
      <c r="H87" s="15" t="s">
        <v>5127</v>
      </c>
      <c r="I87" s="18">
        <v>22</v>
      </c>
      <c r="J87" s="18">
        <v>15</v>
      </c>
      <c r="K87" s="18">
        <v>7</v>
      </c>
      <c r="L87" s="18">
        <v>0</v>
      </c>
      <c r="M87" s="18" t="s">
        <v>5183</v>
      </c>
      <c r="N87" s="18">
        <v>305709</v>
      </c>
      <c r="O87" s="18">
        <v>47016</v>
      </c>
      <c r="T87" s="18" t="s">
        <v>5240</v>
      </c>
      <c r="U87" s="18" t="s">
        <v>5185</v>
      </c>
      <c r="V87" s="18" t="s">
        <v>106</v>
      </c>
      <c r="W87" s="18" t="s">
        <v>5211</v>
      </c>
      <c r="Y87" s="18" t="s">
        <v>5162</v>
      </c>
      <c r="Z87" s="18" t="s">
        <v>106</v>
      </c>
      <c r="AA87" s="18" t="s">
        <v>5163</v>
      </c>
      <c r="AB87" s="18" t="s">
        <v>179</v>
      </c>
      <c r="AC87" s="18" t="s">
        <v>5127</v>
      </c>
      <c r="AD87" s="18" t="s">
        <v>5127</v>
      </c>
      <c r="AE87" s="18" t="s">
        <v>5127</v>
      </c>
      <c r="AF87" s="18" t="s">
        <v>5127</v>
      </c>
      <c r="AG87" s="18" t="s">
        <v>5127</v>
      </c>
      <c r="AH87" s="18" t="s">
        <v>5127</v>
      </c>
      <c r="AI87" s="18">
        <v>2</v>
      </c>
      <c r="AK87" s="18" t="s">
        <v>5164</v>
      </c>
      <c r="AN87" s="18">
        <v>1024</v>
      </c>
      <c r="AO87" s="18" t="s">
        <v>5186</v>
      </c>
      <c r="AP87" s="18" t="s">
        <v>5627</v>
      </c>
      <c r="AQ87" s="18" t="s">
        <v>5606</v>
      </c>
      <c r="AR87" s="18" t="s">
        <v>5168</v>
      </c>
      <c r="AT87" s="17">
        <f>(365*D87*0.7)/1000</f>
        <v>93028.572</v>
      </c>
      <c r="AU87" s="17">
        <f t="shared" si="2"/>
        <v>176</v>
      </c>
      <c r="AV87" s="18">
        <v>176</v>
      </c>
      <c r="AW87" s="18">
        <v>0</v>
      </c>
      <c r="AY87" s="18" t="s">
        <v>5628</v>
      </c>
      <c r="AZ87" s="18">
        <v>0</v>
      </c>
      <c r="BA87" s="18">
        <v>0</v>
      </c>
      <c r="BB87" s="18">
        <v>0</v>
      </c>
      <c r="BD87" s="18">
        <v>0</v>
      </c>
      <c r="BE87" s="18">
        <v>0</v>
      </c>
      <c r="BG87" s="18" t="s">
        <v>5238</v>
      </c>
      <c r="BH87" s="18">
        <f>2820/1000</f>
        <v>2.82</v>
      </c>
      <c r="BI87" s="18">
        <f>1000/1000</f>
        <v>1</v>
      </c>
      <c r="BJ87" s="18">
        <f>1000/1000</f>
        <v>1</v>
      </c>
      <c r="BQ87" s="18">
        <v>355</v>
      </c>
      <c r="BR87" s="18">
        <v>156</v>
      </c>
      <c r="BS87" s="18">
        <v>45</v>
      </c>
      <c r="BT87" s="18">
        <v>177</v>
      </c>
      <c r="BU87" s="18">
        <v>115</v>
      </c>
      <c r="BV87" s="18">
        <v>848</v>
      </c>
      <c r="BW87" s="15">
        <f t="shared" si="3"/>
        <v>848</v>
      </c>
      <c r="BY87" s="18" t="s">
        <v>5134</v>
      </c>
      <c r="BZ87" s="18" t="s">
        <v>5312</v>
      </c>
      <c r="CD87" s="18" t="s">
        <v>5127</v>
      </c>
      <c r="CE87" s="18" t="s">
        <v>111</v>
      </c>
      <c r="CF87" s="18" t="s">
        <v>5282</v>
      </c>
      <c r="CG87" s="18" t="s">
        <v>5193</v>
      </c>
      <c r="CH87" s="18" t="s">
        <v>5241</v>
      </c>
      <c r="CI87" s="18" t="s">
        <v>5138</v>
      </c>
      <c r="CJ87" s="18" t="s">
        <v>5196</v>
      </c>
      <c r="CK87" s="18" t="s">
        <v>5197</v>
      </c>
      <c r="CL87" s="18">
        <v>2</v>
      </c>
      <c r="CM87" s="18">
        <v>1</v>
      </c>
      <c r="CN87" s="18">
        <v>1</v>
      </c>
      <c r="CO87" s="18">
        <v>1</v>
      </c>
      <c r="CP87" s="18">
        <v>2</v>
      </c>
      <c r="CQ87" s="18">
        <v>1</v>
      </c>
      <c r="CR87" s="18">
        <v>1</v>
      </c>
      <c r="CS87" s="18" t="s">
        <v>5141</v>
      </c>
      <c r="CT87" s="18">
        <v>4</v>
      </c>
      <c r="CU87" s="18">
        <v>1</v>
      </c>
      <c r="CV87" s="18" t="s">
        <v>5141</v>
      </c>
      <c r="CX87" s="18">
        <v>0</v>
      </c>
      <c r="CY87" s="18">
        <v>0</v>
      </c>
      <c r="CZ87" s="18">
        <v>0</v>
      </c>
      <c r="DA87" s="18">
        <v>0</v>
      </c>
      <c r="DB87" s="18">
        <v>0</v>
      </c>
      <c r="DC87" s="18">
        <v>0</v>
      </c>
      <c r="DD87" s="18">
        <v>0</v>
      </c>
      <c r="DE87" s="18">
        <v>0</v>
      </c>
      <c r="DF87" s="18">
        <v>0</v>
      </c>
      <c r="DG87" s="18">
        <v>0</v>
      </c>
      <c r="DH87" s="18">
        <v>0</v>
      </c>
      <c r="DI87" s="18">
        <v>0</v>
      </c>
      <c r="DK87" s="18">
        <v>0</v>
      </c>
      <c r="DL87" s="18">
        <v>0</v>
      </c>
      <c r="DM87" s="18" t="s">
        <v>5127</v>
      </c>
      <c r="DN87" s="18" t="s">
        <v>5258</v>
      </c>
      <c r="DO87" s="18" t="s">
        <v>5173</v>
      </c>
      <c r="DP87" s="18" t="s">
        <v>113</v>
      </c>
      <c r="DS87" s="18">
        <v>0</v>
      </c>
      <c r="DT87" s="18">
        <v>1</v>
      </c>
      <c r="DU87" s="18">
        <v>1</v>
      </c>
      <c r="DV87" s="18" t="s">
        <v>5444</v>
      </c>
      <c r="DX87" s="18" t="s">
        <v>5201</v>
      </c>
      <c r="DY87" s="18" t="s">
        <v>106</v>
      </c>
      <c r="DZ87" s="18" t="s">
        <v>113</v>
      </c>
      <c r="EA87" s="18" t="s">
        <v>5261</v>
      </c>
      <c r="EB87" s="18">
        <v>848</v>
      </c>
      <c r="EC87" s="18" t="s">
        <v>106</v>
      </c>
      <c r="ED87" s="18" t="s">
        <v>5176</v>
      </c>
      <c r="EE87" s="18" t="s">
        <v>106</v>
      </c>
      <c r="EF87" s="18" t="s">
        <v>113</v>
      </c>
      <c r="EG87" s="18" t="s">
        <v>5603</v>
      </c>
      <c r="EH87" s="18" t="s">
        <v>5203</v>
      </c>
      <c r="EI87" s="18" t="s">
        <v>5204</v>
      </c>
      <c r="EJ87" s="18" t="s">
        <v>5287</v>
      </c>
      <c r="EK87" s="18" t="s">
        <v>113</v>
      </c>
      <c r="EN87" s="18" t="s">
        <v>113</v>
      </c>
      <c r="EO87" s="18" t="s">
        <v>113</v>
      </c>
      <c r="EP87" s="18" t="s">
        <v>106</v>
      </c>
      <c r="EQ87" s="18" t="s">
        <v>113</v>
      </c>
      <c r="ER87" s="18" t="s">
        <v>5206</v>
      </c>
      <c r="ES87" s="18" t="s">
        <v>5153</v>
      </c>
      <c r="ET87" s="18" t="s">
        <v>5154</v>
      </c>
      <c r="EU87" s="18" t="s">
        <v>5289</v>
      </c>
      <c r="EV87" s="18" t="s">
        <v>5629</v>
      </c>
      <c r="EW87" s="18" t="s">
        <v>5614</v>
      </c>
      <c r="EX87" s="18" t="s">
        <v>5158</v>
      </c>
      <c r="EY87" s="18" t="s">
        <v>5615</v>
      </c>
      <c r="EZ87" s="18" t="s">
        <v>5182</v>
      </c>
      <c r="FA87" s="18" t="s">
        <v>144</v>
      </c>
      <c r="FB87" s="18" t="s">
        <v>5161</v>
      </c>
    </row>
    <row r="88" spans="1:158" ht="10.5" customHeight="1" x14ac:dyDescent="0.2">
      <c r="A88" s="16">
        <v>41</v>
      </c>
      <c r="B88" s="16" t="s">
        <v>1200</v>
      </c>
      <c r="C88" s="16" t="s">
        <v>1199</v>
      </c>
      <c r="D88" s="16">
        <v>75291</v>
      </c>
      <c r="E88" s="16" t="s">
        <v>6658</v>
      </c>
      <c r="F88" s="18" t="s">
        <v>1199</v>
      </c>
      <c r="G88" s="18" t="s">
        <v>106</v>
      </c>
      <c r="H88" s="15" t="s">
        <v>5127</v>
      </c>
      <c r="I88" s="18">
        <v>16</v>
      </c>
      <c r="J88" s="18">
        <v>13</v>
      </c>
      <c r="K88" s="18">
        <v>3</v>
      </c>
      <c r="L88" s="18">
        <v>0</v>
      </c>
      <c r="M88" s="18" t="s">
        <v>5183</v>
      </c>
      <c r="N88" s="18" t="s">
        <v>5630</v>
      </c>
      <c r="O88" s="18">
        <v>46360</v>
      </c>
      <c r="T88" s="18" t="s">
        <v>5501</v>
      </c>
      <c r="U88" s="18" t="s">
        <v>5185</v>
      </c>
      <c r="V88" s="18" t="s">
        <v>106</v>
      </c>
      <c r="W88" s="18" t="s">
        <v>5124</v>
      </c>
      <c r="Y88" s="18" t="s">
        <v>5162</v>
      </c>
      <c r="Z88" s="18" t="s">
        <v>106</v>
      </c>
      <c r="AA88" s="18" t="s">
        <v>5163</v>
      </c>
      <c r="AB88" s="18" t="s">
        <v>179</v>
      </c>
      <c r="AC88" s="18" t="s">
        <v>5127</v>
      </c>
      <c r="AD88" s="18" t="s">
        <v>5127</v>
      </c>
      <c r="AE88" s="18" t="s">
        <v>5127</v>
      </c>
      <c r="AF88" s="18" t="s">
        <v>111</v>
      </c>
      <c r="AG88" s="18" t="s">
        <v>5127</v>
      </c>
      <c r="AH88" s="18" t="s">
        <v>111</v>
      </c>
      <c r="AI88" s="18">
        <v>1</v>
      </c>
      <c r="AK88" s="18" t="s">
        <v>5164</v>
      </c>
      <c r="AN88" s="18">
        <v>839</v>
      </c>
      <c r="AO88" s="18" t="s">
        <v>5165</v>
      </c>
      <c r="AP88" s="18" t="s">
        <v>5631</v>
      </c>
      <c r="AQ88" s="18" t="s">
        <v>5632</v>
      </c>
      <c r="AR88" s="18" t="s">
        <v>5464</v>
      </c>
      <c r="AT88" s="17">
        <f>(365*D88*0.7)/1000</f>
        <v>19236.8505</v>
      </c>
      <c r="AU88" s="17">
        <f t="shared" si="2"/>
        <v>86</v>
      </c>
      <c r="AV88" s="18">
        <v>86</v>
      </c>
      <c r="AW88" s="18">
        <v>0</v>
      </c>
      <c r="AY88" s="18" t="s">
        <v>5633</v>
      </c>
      <c r="AZ88" s="18">
        <f>1/1000</f>
        <v>1E-3</v>
      </c>
      <c r="BB88" s="18">
        <v>50</v>
      </c>
      <c r="BD88" s="18">
        <f>1896/1000</f>
        <v>1.8959999999999999</v>
      </c>
      <c r="BG88" s="18" t="s">
        <v>5634</v>
      </c>
      <c r="BQ88" s="18">
        <v>355</v>
      </c>
      <c r="BR88" s="18">
        <v>218</v>
      </c>
      <c r="BS88" s="18">
        <v>76</v>
      </c>
      <c r="BT88" s="18">
        <v>278</v>
      </c>
      <c r="BU88" s="18">
        <v>0</v>
      </c>
      <c r="BV88" s="18">
        <f>SUM(BQ88:BU88)</f>
        <v>927</v>
      </c>
      <c r="BW88" s="15">
        <f t="shared" si="3"/>
        <v>927</v>
      </c>
      <c r="BY88" s="18" t="s">
        <v>5134</v>
      </c>
      <c r="BZ88" s="18" t="s">
        <v>193</v>
      </c>
      <c r="CD88" s="18" t="s">
        <v>5127</v>
      </c>
      <c r="CE88" s="18" t="s">
        <v>111</v>
      </c>
      <c r="CF88" s="18" t="s">
        <v>5135</v>
      </c>
      <c r="CG88" s="18" t="s">
        <v>5193</v>
      </c>
      <c r="CH88" s="18" t="s">
        <v>5635</v>
      </c>
      <c r="CI88" s="18" t="s">
        <v>5195</v>
      </c>
      <c r="CJ88" s="18" t="s">
        <v>5636</v>
      </c>
      <c r="CK88" s="18" t="s">
        <v>5637</v>
      </c>
      <c r="CL88" s="18">
        <v>0</v>
      </c>
      <c r="CM88" s="18">
        <v>2</v>
      </c>
      <c r="CN88" s="18">
        <v>0</v>
      </c>
      <c r="CO88" s="18">
        <v>2</v>
      </c>
      <c r="CP88" s="18">
        <v>0</v>
      </c>
      <c r="CQ88" s="18">
        <v>2</v>
      </c>
      <c r="CR88" s="18">
        <v>4</v>
      </c>
      <c r="CS88" s="18" t="s">
        <v>5141</v>
      </c>
      <c r="CT88" s="18">
        <v>1</v>
      </c>
      <c r="CU88" s="18">
        <v>2</v>
      </c>
      <c r="CV88" s="18">
        <v>0</v>
      </c>
      <c r="CX88" s="18">
        <v>0</v>
      </c>
      <c r="CY88" s="18">
        <v>0</v>
      </c>
      <c r="CZ88" s="18">
        <v>0</v>
      </c>
      <c r="DA88" s="18">
        <v>1</v>
      </c>
      <c r="DB88" s="18">
        <v>1</v>
      </c>
      <c r="DC88" s="18">
        <v>1</v>
      </c>
      <c r="DD88" s="18">
        <v>1</v>
      </c>
      <c r="DE88" s="18">
        <v>0</v>
      </c>
      <c r="DF88" s="18">
        <v>0</v>
      </c>
      <c r="DG88" s="18">
        <v>1</v>
      </c>
      <c r="DH88" s="18">
        <v>0</v>
      </c>
      <c r="DI88" s="18" t="s">
        <v>5141</v>
      </c>
      <c r="DK88" s="18">
        <v>0</v>
      </c>
      <c r="DL88" s="18">
        <v>0</v>
      </c>
      <c r="DM88" s="18" t="s">
        <v>5127</v>
      </c>
      <c r="DN88" s="18" t="s">
        <v>5258</v>
      </c>
      <c r="DO88" s="18" t="s">
        <v>5638</v>
      </c>
      <c r="DP88" s="18" t="s">
        <v>113</v>
      </c>
      <c r="DS88" s="18">
        <v>0</v>
      </c>
      <c r="DT88" s="18">
        <v>2</v>
      </c>
      <c r="DU88" s="18">
        <v>0</v>
      </c>
      <c r="DV88" s="18" t="s">
        <v>5260</v>
      </c>
      <c r="DX88" s="18" t="s">
        <v>5201</v>
      </c>
      <c r="DY88" s="18" t="s">
        <v>106</v>
      </c>
      <c r="DZ88" s="18" t="s">
        <v>106</v>
      </c>
      <c r="EA88" s="18" t="s">
        <v>5639</v>
      </c>
      <c r="EB88" s="18">
        <v>931</v>
      </c>
      <c r="EC88" s="18" t="s">
        <v>106</v>
      </c>
      <c r="ED88" s="18" t="s">
        <v>5176</v>
      </c>
      <c r="EE88" s="18" t="s">
        <v>106</v>
      </c>
      <c r="EF88" s="18" t="s">
        <v>106</v>
      </c>
      <c r="EG88" s="18" t="s">
        <v>5148</v>
      </c>
      <c r="EH88" s="18" t="s">
        <v>5203</v>
      </c>
      <c r="EI88" s="18" t="s">
        <v>5204</v>
      </c>
      <c r="EJ88" s="18" t="s">
        <v>5387</v>
      </c>
      <c r="EN88" s="18" t="s">
        <v>113</v>
      </c>
      <c r="EO88" s="18" t="s">
        <v>113</v>
      </c>
      <c r="EP88" s="18" t="s">
        <v>113</v>
      </c>
      <c r="EQ88" s="18" t="s">
        <v>113</v>
      </c>
      <c r="ER88" s="18" t="s">
        <v>5206</v>
      </c>
      <c r="ES88" s="18" t="s">
        <v>5153</v>
      </c>
      <c r="ET88" s="18" t="s">
        <v>5154</v>
      </c>
      <c r="EU88" s="18" t="s">
        <v>5318</v>
      </c>
      <c r="EV88" s="18" t="s">
        <v>5319</v>
      </c>
      <c r="EW88" s="18" t="s">
        <v>5291</v>
      </c>
      <c r="EX88" s="18" t="s">
        <v>5158</v>
      </c>
      <c r="EY88" s="18" t="s">
        <v>5640</v>
      </c>
      <c r="EZ88" s="18" t="s">
        <v>5160</v>
      </c>
      <c r="FA88" s="18" t="s">
        <v>144</v>
      </c>
      <c r="FB88" s="18" t="s">
        <v>5161</v>
      </c>
    </row>
    <row r="89" spans="1:158" ht="10.5" customHeight="1" x14ac:dyDescent="0.2">
      <c r="A89" s="16">
        <v>41</v>
      </c>
      <c r="B89" s="16" t="s">
        <v>1215</v>
      </c>
      <c r="C89" s="16" t="s">
        <v>1214</v>
      </c>
      <c r="D89" s="16">
        <v>10627</v>
      </c>
      <c r="E89" s="16" t="s">
        <v>6656</v>
      </c>
      <c r="F89" s="18" t="s">
        <v>1214</v>
      </c>
      <c r="G89" s="18" t="s">
        <v>106</v>
      </c>
      <c r="H89" s="15" t="s">
        <v>5127</v>
      </c>
      <c r="I89" s="18">
        <v>8</v>
      </c>
      <c r="J89" s="18">
        <v>4</v>
      </c>
      <c r="K89" s="18">
        <v>4</v>
      </c>
      <c r="M89" s="18" t="s">
        <v>5230</v>
      </c>
      <c r="N89" s="18" t="s">
        <v>5641</v>
      </c>
      <c r="T89" s="18" t="s">
        <v>5382</v>
      </c>
      <c r="U89" s="18" t="s">
        <v>5123</v>
      </c>
      <c r="V89" s="18" t="s">
        <v>106</v>
      </c>
      <c r="W89" s="18" t="s">
        <v>5211</v>
      </c>
      <c r="Y89" s="18" t="s">
        <v>5232</v>
      </c>
      <c r="Z89" s="18" t="s">
        <v>106</v>
      </c>
      <c r="AA89" s="18" t="s">
        <v>5163</v>
      </c>
      <c r="AB89" s="18" t="s">
        <v>179</v>
      </c>
      <c r="AC89" s="18" t="s">
        <v>5127</v>
      </c>
      <c r="AD89" s="18" t="s">
        <v>5127</v>
      </c>
      <c r="AE89" s="18" t="s">
        <v>5127</v>
      </c>
      <c r="AF89" s="18" t="s">
        <v>5127</v>
      </c>
      <c r="AG89" s="18" t="s">
        <v>5127</v>
      </c>
      <c r="AH89" s="18" t="s">
        <v>5127</v>
      </c>
      <c r="AI89" s="18">
        <v>1</v>
      </c>
      <c r="AK89" s="18" t="s">
        <v>5164</v>
      </c>
      <c r="AN89" s="18">
        <v>0</v>
      </c>
      <c r="AO89" s="18" t="s">
        <v>5186</v>
      </c>
      <c r="AP89" s="18" t="s">
        <v>5642</v>
      </c>
      <c r="AQ89" s="18" t="s">
        <v>5643</v>
      </c>
      <c r="AR89" s="18" t="s">
        <v>5168</v>
      </c>
      <c r="AT89" s="17">
        <f>(365*D89*0.7)/1000</f>
        <v>2715.1985</v>
      </c>
      <c r="AU89" s="17">
        <f t="shared" si="2"/>
        <v>44</v>
      </c>
      <c r="AV89" s="18">
        <v>44</v>
      </c>
      <c r="AW89" s="18">
        <v>0</v>
      </c>
      <c r="AY89" s="18" t="s">
        <v>5334</v>
      </c>
      <c r="BG89" s="18" t="s">
        <v>5281</v>
      </c>
      <c r="BQ89" s="18">
        <v>163</v>
      </c>
      <c r="BR89" s="18">
        <v>66</v>
      </c>
      <c r="BS89" s="18">
        <v>34</v>
      </c>
      <c r="BT89" s="18">
        <v>30</v>
      </c>
      <c r="BU89" s="18">
        <v>10</v>
      </c>
      <c r="BV89" s="18">
        <f>SUM(BQ89:BU89)</f>
        <v>303</v>
      </c>
      <c r="BW89" s="15">
        <f t="shared" si="3"/>
        <v>303</v>
      </c>
      <c r="BY89" s="18" t="s">
        <v>5134</v>
      </c>
      <c r="BZ89" s="18" t="s">
        <v>5240</v>
      </c>
      <c r="CD89" s="18" t="s">
        <v>5127</v>
      </c>
      <c r="CE89" s="18" t="s">
        <v>5127</v>
      </c>
      <c r="CF89" s="18" t="s">
        <v>5135</v>
      </c>
      <c r="CG89" s="18" t="s">
        <v>5644</v>
      </c>
      <c r="CH89" s="18" t="s">
        <v>5241</v>
      </c>
      <c r="CI89" s="18" t="s">
        <v>5138</v>
      </c>
      <c r="CJ89" s="18" t="s">
        <v>5196</v>
      </c>
      <c r="CK89" s="18" t="s">
        <v>5336</v>
      </c>
      <c r="CL89" s="18">
        <v>2</v>
      </c>
      <c r="CM89" s="18">
        <v>0</v>
      </c>
      <c r="CN89" s="18">
        <v>0</v>
      </c>
      <c r="CO89" s="18">
        <v>1</v>
      </c>
      <c r="CP89" s="18">
        <v>0</v>
      </c>
      <c r="CQ89" s="18">
        <v>1</v>
      </c>
      <c r="CR89" s="18">
        <v>0</v>
      </c>
      <c r="CS89" s="18" t="s">
        <v>5141</v>
      </c>
      <c r="CT89" s="18">
        <v>1</v>
      </c>
      <c r="CU89" s="18">
        <v>0</v>
      </c>
      <c r="CV89" s="18" t="s">
        <v>5141</v>
      </c>
      <c r="CX89" s="18">
        <v>0</v>
      </c>
      <c r="CY89" s="18">
        <v>0</v>
      </c>
      <c r="CZ89" s="18">
        <v>0</v>
      </c>
      <c r="DA89" s="18">
        <v>0</v>
      </c>
      <c r="DB89" s="18">
        <v>1</v>
      </c>
      <c r="DC89" s="18">
        <v>0</v>
      </c>
      <c r="DD89" s="18">
        <v>0</v>
      </c>
      <c r="DE89" s="18">
        <v>0</v>
      </c>
      <c r="DF89" s="18" t="s">
        <v>5141</v>
      </c>
      <c r="DG89" s="18">
        <v>1</v>
      </c>
      <c r="DH89" s="18">
        <v>0</v>
      </c>
      <c r="DI89" s="18">
        <v>0</v>
      </c>
      <c r="DK89" s="18">
        <v>0</v>
      </c>
      <c r="DL89" s="18">
        <v>0</v>
      </c>
      <c r="DM89" s="18" t="s">
        <v>5127</v>
      </c>
      <c r="DN89" s="18" t="s">
        <v>5172</v>
      </c>
      <c r="DO89" s="18" t="s">
        <v>5645</v>
      </c>
      <c r="DP89" s="18" t="s">
        <v>113</v>
      </c>
      <c r="DS89" s="18">
        <v>0</v>
      </c>
      <c r="DT89" s="18">
        <v>1</v>
      </c>
      <c r="DU89" s="18">
        <v>1</v>
      </c>
      <c r="DV89" s="18" t="s">
        <v>5342</v>
      </c>
      <c r="DX89" s="18" t="s">
        <v>5201</v>
      </c>
      <c r="DY89" s="18" t="s">
        <v>106</v>
      </c>
      <c r="DZ89" s="18" t="s">
        <v>113</v>
      </c>
      <c r="EA89" s="18" t="s">
        <v>5243</v>
      </c>
      <c r="EB89" s="18">
        <v>302</v>
      </c>
      <c r="EC89" s="18" t="s">
        <v>106</v>
      </c>
      <c r="ED89" s="18" t="s">
        <v>5176</v>
      </c>
      <c r="EE89" s="18" t="s">
        <v>106</v>
      </c>
      <c r="EG89" s="18" t="s">
        <v>5404</v>
      </c>
      <c r="EH89" s="18" t="s">
        <v>5203</v>
      </c>
      <c r="EI89" s="18" t="s">
        <v>5204</v>
      </c>
      <c r="EJ89" s="18" t="s">
        <v>5646</v>
      </c>
      <c r="EN89" s="18" t="s">
        <v>113</v>
      </c>
      <c r="EO89" s="18" t="s">
        <v>113</v>
      </c>
      <c r="EP89" s="18" t="s">
        <v>113</v>
      </c>
      <c r="EQ89" s="18" t="s">
        <v>113</v>
      </c>
      <c r="ER89" s="18" t="s">
        <v>5206</v>
      </c>
      <c r="ES89" s="18" t="s">
        <v>5153</v>
      </c>
      <c r="ET89" s="18" t="s">
        <v>5154</v>
      </c>
      <c r="EU89" s="18" t="s">
        <v>5155</v>
      </c>
      <c r="EV89" s="18" t="s">
        <v>5647</v>
      </c>
      <c r="EW89" s="18" t="s">
        <v>5648</v>
      </c>
      <c r="EX89" s="18" t="s">
        <v>5158</v>
      </c>
      <c r="EY89" s="18" t="s">
        <v>5229</v>
      </c>
      <c r="EZ89" s="18" t="s">
        <v>5308</v>
      </c>
      <c r="FA89" s="18" t="s">
        <v>144</v>
      </c>
      <c r="FB89" s="18" t="s">
        <v>5161</v>
      </c>
    </row>
    <row r="90" spans="1:158" ht="10.5" customHeight="1" x14ac:dyDescent="0.2">
      <c r="A90" s="16">
        <v>41</v>
      </c>
      <c r="B90" s="16" t="s">
        <v>1225</v>
      </c>
      <c r="C90" s="16" t="s">
        <v>1224</v>
      </c>
      <c r="D90" s="16">
        <v>10936</v>
      </c>
      <c r="E90" s="16" t="s">
        <v>6656</v>
      </c>
      <c r="F90" s="18" t="s">
        <v>1224</v>
      </c>
      <c r="G90" s="18" t="s">
        <v>106</v>
      </c>
      <c r="H90" s="15" t="s">
        <v>5127</v>
      </c>
      <c r="I90" s="18">
        <v>11</v>
      </c>
      <c r="J90" s="18" t="s">
        <v>4819</v>
      </c>
      <c r="K90" s="18" t="s">
        <v>1024</v>
      </c>
      <c r="L90" s="18">
        <v>0</v>
      </c>
      <c r="M90" s="18" t="s">
        <v>5121</v>
      </c>
      <c r="N90" s="18" t="s">
        <v>430</v>
      </c>
      <c r="T90" s="18" t="s">
        <v>5240</v>
      </c>
      <c r="U90" s="18" t="s">
        <v>5250</v>
      </c>
      <c r="V90" s="18" t="s">
        <v>113</v>
      </c>
      <c r="W90" s="18" t="s">
        <v>5211</v>
      </c>
      <c r="Y90" s="18" t="s">
        <v>5232</v>
      </c>
      <c r="Z90" s="18" t="s">
        <v>113</v>
      </c>
      <c r="AA90" s="18" t="s">
        <v>5163</v>
      </c>
      <c r="AB90" s="18" t="s">
        <v>179</v>
      </c>
      <c r="AC90" s="18" t="s">
        <v>111</v>
      </c>
      <c r="AD90" s="18" t="s">
        <v>111</v>
      </c>
      <c r="AE90" s="18" t="s">
        <v>111</v>
      </c>
      <c r="AF90" s="18" t="s">
        <v>111</v>
      </c>
      <c r="AG90" s="18" t="s">
        <v>111</v>
      </c>
      <c r="AH90" s="18" t="s">
        <v>111</v>
      </c>
      <c r="AI90" s="18">
        <v>0</v>
      </c>
      <c r="AK90" s="18" t="s">
        <v>5164</v>
      </c>
      <c r="AN90" s="18">
        <v>0</v>
      </c>
      <c r="AO90" s="18" t="s">
        <v>5129</v>
      </c>
      <c r="AP90" s="18" t="s">
        <v>5649</v>
      </c>
      <c r="AQ90" s="18" t="s">
        <v>5252</v>
      </c>
      <c r="AR90" s="18" t="s">
        <v>179</v>
      </c>
      <c r="AT90" s="17">
        <f>(365*D90*0.7)/1000</f>
        <v>2794.1480000000001</v>
      </c>
      <c r="AU90" s="17">
        <f t="shared" si="2"/>
        <v>0</v>
      </c>
      <c r="AV90" s="18">
        <v>0</v>
      </c>
      <c r="AW90" s="18">
        <v>0</v>
      </c>
      <c r="AY90" s="18" t="s">
        <v>5650</v>
      </c>
      <c r="AZ90" s="18">
        <v>0</v>
      </c>
      <c r="BA90" s="18">
        <v>0</v>
      </c>
      <c r="BB90" s="18">
        <v>0</v>
      </c>
      <c r="BD90" s="18">
        <v>0</v>
      </c>
      <c r="BE90" s="18">
        <v>2000</v>
      </c>
      <c r="BG90" s="18" t="s">
        <v>5169</v>
      </c>
      <c r="BH90" s="18">
        <v>0</v>
      </c>
      <c r="BI90" s="18">
        <v>0</v>
      </c>
      <c r="BJ90" s="18">
        <v>0</v>
      </c>
      <c r="BQ90" s="18">
        <v>0</v>
      </c>
      <c r="BR90" s="18">
        <v>0</v>
      </c>
      <c r="BS90" s="18">
        <v>0</v>
      </c>
      <c r="BT90" s="18">
        <v>25</v>
      </c>
      <c r="BU90" s="18">
        <v>0</v>
      </c>
      <c r="BV90" s="18">
        <f>SUM(BQ90:BU90)</f>
        <v>25</v>
      </c>
      <c r="BW90" s="15">
        <f t="shared" si="3"/>
        <v>25</v>
      </c>
      <c r="BY90" s="18" t="s">
        <v>5419</v>
      </c>
      <c r="BZ90" s="18" t="s">
        <v>193</v>
      </c>
      <c r="CD90" s="18" t="s">
        <v>5127</v>
      </c>
      <c r="CE90" s="18" t="s">
        <v>111</v>
      </c>
      <c r="CF90" s="18" t="s">
        <v>5135</v>
      </c>
      <c r="CG90" s="18" t="s">
        <v>5651</v>
      </c>
      <c r="CH90" s="18" t="s">
        <v>5241</v>
      </c>
      <c r="CI90" s="18" t="s">
        <v>5195</v>
      </c>
      <c r="CJ90" s="18" t="s">
        <v>5139</v>
      </c>
      <c r="CK90" s="18" t="s">
        <v>179</v>
      </c>
      <c r="CL90" s="18">
        <v>3</v>
      </c>
      <c r="CM90" s="18">
        <v>0</v>
      </c>
      <c r="CN90" s="18">
        <v>0</v>
      </c>
      <c r="CO90" s="18">
        <v>0</v>
      </c>
      <c r="CP90" s="18">
        <v>0</v>
      </c>
      <c r="CQ90" s="18">
        <v>0</v>
      </c>
      <c r="CR90" s="18">
        <v>0</v>
      </c>
      <c r="CS90" s="18">
        <v>0</v>
      </c>
      <c r="CT90" s="18">
        <v>0</v>
      </c>
      <c r="CU90" s="18">
        <v>0</v>
      </c>
      <c r="CV90" s="18">
        <v>0</v>
      </c>
      <c r="CX90" s="18">
        <v>4</v>
      </c>
      <c r="CY90" s="18">
        <v>1</v>
      </c>
      <c r="CZ90" s="18">
        <v>1</v>
      </c>
      <c r="DA90" s="18">
        <v>1</v>
      </c>
      <c r="DB90" s="18">
        <v>4</v>
      </c>
      <c r="DC90" s="18">
        <v>1</v>
      </c>
      <c r="DD90" s="18">
        <v>4</v>
      </c>
      <c r="DE90" s="18" t="s">
        <v>5141</v>
      </c>
      <c r="DF90" s="18" t="s">
        <v>5141</v>
      </c>
      <c r="DG90" s="18">
        <v>4</v>
      </c>
      <c r="DH90" s="18" t="s">
        <v>5141</v>
      </c>
      <c r="DI90" s="18">
        <v>4</v>
      </c>
      <c r="DK90" s="18">
        <v>0</v>
      </c>
      <c r="DL90" s="18">
        <v>1</v>
      </c>
      <c r="DM90" s="18" t="s">
        <v>5127</v>
      </c>
      <c r="DN90" s="18" t="s">
        <v>5142</v>
      </c>
      <c r="DO90" s="18" t="s">
        <v>5259</v>
      </c>
      <c r="DP90" s="18" t="s">
        <v>113</v>
      </c>
      <c r="DQ90" s="18" t="s">
        <v>179</v>
      </c>
      <c r="DS90" s="18">
        <v>0</v>
      </c>
      <c r="DT90" s="18">
        <v>0</v>
      </c>
      <c r="DU90" s="18">
        <v>1</v>
      </c>
      <c r="DV90" s="18" t="s">
        <v>5520</v>
      </c>
      <c r="DX90" s="18" t="s">
        <v>5145</v>
      </c>
      <c r="DY90" s="18" t="s">
        <v>106</v>
      </c>
      <c r="DZ90" s="18" t="s">
        <v>113</v>
      </c>
      <c r="EA90" s="18" t="s">
        <v>5652</v>
      </c>
      <c r="EB90" s="18">
        <v>0</v>
      </c>
      <c r="EC90" s="18" t="s">
        <v>113</v>
      </c>
      <c r="ED90" s="18" t="s">
        <v>5147</v>
      </c>
      <c r="EE90" s="18" t="s">
        <v>113</v>
      </c>
      <c r="EF90" s="18" t="s">
        <v>113</v>
      </c>
      <c r="EG90" s="18" t="s">
        <v>5404</v>
      </c>
      <c r="EH90" s="18" t="s">
        <v>5149</v>
      </c>
      <c r="EI90" s="18" t="s">
        <v>5150</v>
      </c>
      <c r="EJ90" s="18" t="s">
        <v>5653</v>
      </c>
      <c r="EK90" s="18" t="s">
        <v>113</v>
      </c>
      <c r="EN90" s="18" t="s">
        <v>113</v>
      </c>
      <c r="EO90" s="18" t="s">
        <v>113</v>
      </c>
      <c r="EP90" s="18" t="s">
        <v>113</v>
      </c>
      <c r="EQ90" s="18" t="s">
        <v>113</v>
      </c>
      <c r="ER90" s="18" t="s">
        <v>5227</v>
      </c>
      <c r="ES90" s="18" t="s">
        <v>5654</v>
      </c>
      <c r="ET90" s="18" t="s">
        <v>179</v>
      </c>
      <c r="EU90" s="18" t="s">
        <v>5155</v>
      </c>
      <c r="EV90" s="18" t="s">
        <v>179</v>
      </c>
      <c r="EW90" s="18" t="s">
        <v>179</v>
      </c>
      <c r="EX90" s="18" t="s">
        <v>5158</v>
      </c>
      <c r="EY90" s="18" t="s">
        <v>5438</v>
      </c>
      <c r="EZ90" s="18" t="s">
        <v>5182</v>
      </c>
      <c r="FA90" s="18" t="s">
        <v>144</v>
      </c>
      <c r="FB90" s="18" t="s">
        <v>5161</v>
      </c>
    </row>
    <row r="91" spans="1:158" ht="10.5" customHeight="1" x14ac:dyDescent="0.2">
      <c r="A91" s="16">
        <v>41</v>
      </c>
      <c r="B91" s="16" t="s">
        <v>1231</v>
      </c>
      <c r="C91" s="16" t="s">
        <v>1230</v>
      </c>
      <c r="D91" s="16">
        <v>16240</v>
      </c>
      <c r="E91" s="16" t="s">
        <v>6658</v>
      </c>
      <c r="F91" s="18" t="s">
        <v>1230</v>
      </c>
      <c r="G91" s="18" t="s">
        <v>106</v>
      </c>
      <c r="H91" s="15" t="s">
        <v>5127</v>
      </c>
      <c r="I91" s="18">
        <v>7</v>
      </c>
      <c r="J91" s="18">
        <v>6</v>
      </c>
      <c r="K91" s="18">
        <v>1</v>
      </c>
      <c r="L91" s="18">
        <v>0</v>
      </c>
      <c r="M91" s="18" t="s">
        <v>5121</v>
      </c>
      <c r="N91" s="18" t="s">
        <v>5655</v>
      </c>
      <c r="T91" s="18" t="s">
        <v>111</v>
      </c>
      <c r="U91" s="18" t="s">
        <v>5123</v>
      </c>
      <c r="V91" s="18" t="s">
        <v>113</v>
      </c>
      <c r="W91" s="18" t="s">
        <v>5124</v>
      </c>
      <c r="Y91" s="18" t="s">
        <v>5656</v>
      </c>
      <c r="Z91" s="18" t="s">
        <v>106</v>
      </c>
      <c r="AA91" s="18" t="s">
        <v>5163</v>
      </c>
      <c r="AB91" s="18" t="s">
        <v>179</v>
      </c>
      <c r="AC91" s="18" t="s">
        <v>5127</v>
      </c>
      <c r="AD91" s="18" t="s">
        <v>5127</v>
      </c>
      <c r="AE91" s="18" t="s">
        <v>5127</v>
      </c>
      <c r="AF91" s="18" t="s">
        <v>111</v>
      </c>
      <c r="AG91" s="18" t="s">
        <v>5127</v>
      </c>
      <c r="AH91" s="18" t="s">
        <v>111</v>
      </c>
      <c r="AI91" s="18">
        <v>1</v>
      </c>
      <c r="AK91" s="18" t="s">
        <v>5657</v>
      </c>
      <c r="AN91" s="18">
        <v>312</v>
      </c>
      <c r="AO91" s="18" t="s">
        <v>5186</v>
      </c>
      <c r="AP91" s="18" t="s">
        <v>5658</v>
      </c>
      <c r="AQ91" s="18" t="s">
        <v>5252</v>
      </c>
      <c r="AR91" s="18" t="s">
        <v>5168</v>
      </c>
      <c r="AT91" s="17">
        <f>(365*D91*0.7)/1000</f>
        <v>4149.32</v>
      </c>
      <c r="AU91" s="17">
        <f t="shared" si="2"/>
        <v>72</v>
      </c>
      <c r="AV91" s="18">
        <v>72</v>
      </c>
      <c r="AW91" s="18">
        <v>0</v>
      </c>
      <c r="AY91" s="18" t="s">
        <v>5334</v>
      </c>
      <c r="AZ91" s="18">
        <v>0</v>
      </c>
      <c r="BD91" s="18">
        <v>0</v>
      </c>
      <c r="BE91" s="18">
        <v>0</v>
      </c>
      <c r="BG91" s="18" t="s">
        <v>5133</v>
      </c>
      <c r="BH91" s="18">
        <v>0</v>
      </c>
      <c r="BI91" s="18">
        <v>0</v>
      </c>
      <c r="BJ91" s="18">
        <v>0</v>
      </c>
      <c r="BQ91" s="18">
        <v>120</v>
      </c>
      <c r="BR91" s="18">
        <v>60</v>
      </c>
      <c r="BS91" s="18">
        <v>36</v>
      </c>
      <c r="BT91" s="18">
        <v>24</v>
      </c>
      <c r="BU91" s="18">
        <v>0</v>
      </c>
      <c r="BV91" s="18">
        <v>240</v>
      </c>
      <c r="BW91" s="15">
        <f t="shared" si="3"/>
        <v>240</v>
      </c>
      <c r="BY91" s="18" t="s">
        <v>5134</v>
      </c>
      <c r="BZ91" s="18" t="s">
        <v>193</v>
      </c>
      <c r="CD91" s="18" t="s">
        <v>5127</v>
      </c>
      <c r="CE91" s="18" t="s">
        <v>111</v>
      </c>
      <c r="CF91" s="18" t="s">
        <v>5135</v>
      </c>
      <c r="CG91" s="18" t="s">
        <v>5298</v>
      </c>
      <c r="CH91" s="18" t="s">
        <v>111</v>
      </c>
      <c r="CI91" s="18" t="s">
        <v>111</v>
      </c>
      <c r="CJ91" s="18" t="s">
        <v>5139</v>
      </c>
      <c r="CK91" s="18" t="s">
        <v>5197</v>
      </c>
      <c r="CL91" s="18">
        <v>2</v>
      </c>
      <c r="CM91" s="18">
        <v>0</v>
      </c>
      <c r="CN91" s="18">
        <v>0</v>
      </c>
      <c r="CO91" s="18">
        <v>1</v>
      </c>
      <c r="CP91" s="18">
        <v>1</v>
      </c>
      <c r="CQ91" s="18">
        <v>1</v>
      </c>
      <c r="CR91" s="18">
        <v>0</v>
      </c>
      <c r="CS91" s="18" t="s">
        <v>5141</v>
      </c>
      <c r="CT91" s="18">
        <v>0</v>
      </c>
      <c r="CU91" s="18">
        <v>0</v>
      </c>
      <c r="CV91" s="18">
        <v>0</v>
      </c>
      <c r="CX91" s="18">
        <v>1</v>
      </c>
      <c r="CY91" s="18">
        <v>1</v>
      </c>
      <c r="CZ91" s="18">
        <v>1</v>
      </c>
      <c r="DA91" s="18">
        <v>1</v>
      </c>
      <c r="DB91" s="18">
        <v>0</v>
      </c>
      <c r="DC91" s="18">
        <v>0</v>
      </c>
      <c r="DD91" s="18">
        <v>1</v>
      </c>
      <c r="DE91" s="18">
        <v>5</v>
      </c>
      <c r="DF91" s="18" t="s">
        <v>5141</v>
      </c>
      <c r="DG91" s="18">
        <v>0</v>
      </c>
      <c r="DH91" s="18" t="s">
        <v>5141</v>
      </c>
      <c r="DI91" s="18">
        <v>1</v>
      </c>
      <c r="DK91" s="18">
        <v>0</v>
      </c>
      <c r="DL91" s="18">
        <v>0</v>
      </c>
      <c r="DM91" s="18" t="s">
        <v>5127</v>
      </c>
      <c r="DN91" s="18" t="s">
        <v>5142</v>
      </c>
      <c r="DO91" s="18" t="s">
        <v>5259</v>
      </c>
      <c r="DP91" s="18" t="s">
        <v>106</v>
      </c>
      <c r="DQ91" s="18" t="s">
        <v>5168</v>
      </c>
      <c r="DS91" s="18">
        <v>0</v>
      </c>
      <c r="DT91" s="18">
        <v>0</v>
      </c>
      <c r="DU91" s="18">
        <v>1</v>
      </c>
      <c r="DV91" s="18" t="s">
        <v>5324</v>
      </c>
      <c r="DX91" s="18" t="s">
        <v>5201</v>
      </c>
      <c r="DY91" s="18" t="s">
        <v>106</v>
      </c>
      <c r="DZ91" s="18" t="s">
        <v>113</v>
      </c>
      <c r="EA91" s="18" t="s">
        <v>5175</v>
      </c>
      <c r="EB91" s="18">
        <v>240</v>
      </c>
      <c r="EC91" s="18" t="s">
        <v>113</v>
      </c>
      <c r="ED91" s="18" t="s">
        <v>5147</v>
      </c>
      <c r="EE91" s="18" t="s">
        <v>113</v>
      </c>
      <c r="EF91" s="18" t="s">
        <v>113</v>
      </c>
      <c r="EG91" s="18" t="s">
        <v>5148</v>
      </c>
      <c r="EH91" s="18" t="s">
        <v>5203</v>
      </c>
      <c r="EI91" s="18" t="s">
        <v>5204</v>
      </c>
      <c r="EJ91" s="18" t="s">
        <v>5287</v>
      </c>
      <c r="EK91" s="18" t="s">
        <v>113</v>
      </c>
      <c r="EL91" s="18" t="s">
        <v>5475</v>
      </c>
      <c r="EM91" s="18" t="s">
        <v>5514</v>
      </c>
      <c r="EN91" s="18" t="s">
        <v>113</v>
      </c>
      <c r="EO91" s="18" t="s">
        <v>113</v>
      </c>
      <c r="EP91" s="18" t="s">
        <v>113</v>
      </c>
      <c r="EQ91" s="18" t="s">
        <v>106</v>
      </c>
      <c r="ER91" s="18" t="s">
        <v>5206</v>
      </c>
      <c r="ES91" s="18" t="s">
        <v>5153</v>
      </c>
      <c r="ET91" s="18" t="s">
        <v>5154</v>
      </c>
      <c r="EU91" s="18" t="s">
        <v>5318</v>
      </c>
      <c r="EV91" s="18" t="s">
        <v>5659</v>
      </c>
      <c r="EW91" s="18" t="s">
        <v>5247</v>
      </c>
      <c r="EX91" s="18" t="s">
        <v>5158</v>
      </c>
      <c r="EY91" s="18" t="s">
        <v>5365</v>
      </c>
      <c r="EZ91" s="18" t="s">
        <v>5160</v>
      </c>
      <c r="FA91" s="18" t="s">
        <v>144</v>
      </c>
      <c r="FB91" s="18" t="s">
        <v>5161</v>
      </c>
    </row>
    <row r="92" spans="1:158" ht="10.5" customHeight="1" x14ac:dyDescent="0.2">
      <c r="A92" s="16">
        <v>41</v>
      </c>
      <c r="B92" s="16" t="s">
        <v>1243</v>
      </c>
      <c r="C92" s="16" t="s">
        <v>1242</v>
      </c>
      <c r="D92" s="16">
        <v>11251</v>
      </c>
      <c r="E92" s="16" t="s">
        <v>6656</v>
      </c>
      <c r="F92" s="18" t="s">
        <v>1242</v>
      </c>
      <c r="G92" s="18" t="s">
        <v>106</v>
      </c>
      <c r="H92" s="15" t="s">
        <v>5127</v>
      </c>
      <c r="I92" s="18">
        <v>15</v>
      </c>
      <c r="J92" s="18">
        <v>7</v>
      </c>
      <c r="K92" s="18">
        <v>8</v>
      </c>
      <c r="L92" s="18">
        <v>0</v>
      </c>
      <c r="M92" s="18" t="s">
        <v>5183</v>
      </c>
      <c r="N92" s="18" t="s">
        <v>5660</v>
      </c>
      <c r="O92" s="18">
        <v>47331</v>
      </c>
      <c r="T92" s="18" t="s">
        <v>111</v>
      </c>
      <c r="U92" s="18" t="s">
        <v>5250</v>
      </c>
      <c r="V92" s="18" t="s">
        <v>106</v>
      </c>
      <c r="W92" s="18" t="s">
        <v>5124</v>
      </c>
      <c r="Y92" s="18" t="s">
        <v>5232</v>
      </c>
      <c r="Z92" s="18" t="s">
        <v>106</v>
      </c>
      <c r="AA92" s="18" t="s">
        <v>5163</v>
      </c>
      <c r="AB92" s="18" t="s">
        <v>179</v>
      </c>
      <c r="AC92" s="18" t="s">
        <v>5127</v>
      </c>
      <c r="AD92" s="18" t="s">
        <v>5127</v>
      </c>
      <c r="AE92" s="18" t="s">
        <v>5127</v>
      </c>
      <c r="AF92" s="18" t="s">
        <v>5127</v>
      </c>
      <c r="AG92" s="18" t="s">
        <v>5127</v>
      </c>
      <c r="AH92" s="18" t="s">
        <v>5127</v>
      </c>
      <c r="AI92" s="18">
        <v>1</v>
      </c>
      <c r="AK92" s="18" t="s">
        <v>5164</v>
      </c>
      <c r="AN92" s="18">
        <v>791</v>
      </c>
      <c r="AO92" s="18" t="s">
        <v>5186</v>
      </c>
      <c r="AP92" s="18" t="s">
        <v>5661</v>
      </c>
      <c r="AQ92" s="18" t="s">
        <v>5662</v>
      </c>
      <c r="AR92" s="18" t="s">
        <v>5132</v>
      </c>
      <c r="AT92" s="17">
        <f>(365*D92*0.7)/1000</f>
        <v>2874.6305000000002</v>
      </c>
      <c r="AU92" s="17">
        <f t="shared" si="2"/>
        <v>100</v>
      </c>
      <c r="AV92" s="18">
        <v>100</v>
      </c>
      <c r="AW92" s="18">
        <v>0</v>
      </c>
      <c r="AY92" s="18" t="s">
        <v>5451</v>
      </c>
      <c r="BG92" s="18" t="s">
        <v>5663</v>
      </c>
      <c r="BH92" s="18">
        <v>0</v>
      </c>
      <c r="BI92" s="18">
        <v>0</v>
      </c>
      <c r="BJ92" s="18">
        <v>0</v>
      </c>
      <c r="BQ92" s="18">
        <v>210</v>
      </c>
      <c r="BR92" s="18">
        <v>146</v>
      </c>
      <c r="BS92" s="18">
        <v>192</v>
      </c>
      <c r="BT92" s="18">
        <v>24</v>
      </c>
      <c r="BU92" s="18">
        <v>3</v>
      </c>
      <c r="BV92" s="18">
        <v>575</v>
      </c>
      <c r="BW92" s="15">
        <f t="shared" si="3"/>
        <v>575</v>
      </c>
      <c r="BY92" s="18" t="s">
        <v>5134</v>
      </c>
      <c r="BZ92" s="18" t="s">
        <v>5312</v>
      </c>
      <c r="CD92" s="18" t="s">
        <v>5127</v>
      </c>
      <c r="CE92" s="18" t="s">
        <v>5127</v>
      </c>
      <c r="CF92" s="18" t="s">
        <v>5135</v>
      </c>
      <c r="CG92" s="18" t="s">
        <v>5664</v>
      </c>
      <c r="CH92" s="18" t="s">
        <v>5241</v>
      </c>
      <c r="CI92" s="18" t="s">
        <v>5138</v>
      </c>
      <c r="CJ92" s="18" t="s">
        <v>5196</v>
      </c>
      <c r="CK92" s="18" t="s">
        <v>5197</v>
      </c>
      <c r="CL92" s="18">
        <v>0</v>
      </c>
      <c r="CM92" s="18">
        <v>2</v>
      </c>
      <c r="CN92" s="18">
        <v>1</v>
      </c>
      <c r="CO92" s="18">
        <v>1</v>
      </c>
      <c r="CP92" s="18">
        <v>3</v>
      </c>
      <c r="CQ92" s="18">
        <v>1</v>
      </c>
      <c r="CR92" s="18">
        <v>0</v>
      </c>
      <c r="CS92" s="18">
        <v>1</v>
      </c>
      <c r="CT92" s="18">
        <v>0</v>
      </c>
      <c r="CU92" s="18">
        <v>0</v>
      </c>
      <c r="CV92" s="18">
        <v>1</v>
      </c>
      <c r="CX92" s="18">
        <v>0</v>
      </c>
      <c r="CY92" s="18">
        <v>1</v>
      </c>
      <c r="CZ92" s="18">
        <v>0</v>
      </c>
      <c r="DA92" s="18">
        <v>0</v>
      </c>
      <c r="DB92" s="18">
        <v>1</v>
      </c>
      <c r="DC92" s="18">
        <v>1</v>
      </c>
      <c r="DD92" s="18">
        <v>0</v>
      </c>
      <c r="DE92" s="18">
        <v>0</v>
      </c>
      <c r="DF92" s="18">
        <v>0</v>
      </c>
      <c r="DG92" s="18">
        <v>1</v>
      </c>
      <c r="DH92" s="18">
        <v>1</v>
      </c>
      <c r="DI92" s="18">
        <v>0</v>
      </c>
      <c r="DK92" s="18">
        <v>0</v>
      </c>
      <c r="DL92" s="18">
        <v>0</v>
      </c>
      <c r="DM92" s="18" t="s">
        <v>5127</v>
      </c>
      <c r="DN92" s="18" t="s">
        <v>5172</v>
      </c>
      <c r="DO92" s="18" t="s">
        <v>5665</v>
      </c>
      <c r="DP92" s="18" t="s">
        <v>113</v>
      </c>
      <c r="DQ92" s="18" t="s">
        <v>179</v>
      </c>
      <c r="DS92" s="18">
        <v>0</v>
      </c>
      <c r="DT92" s="18">
        <v>0</v>
      </c>
      <c r="DU92" s="18">
        <v>0</v>
      </c>
      <c r="DV92" s="18" t="s">
        <v>5666</v>
      </c>
      <c r="DX92" s="18" t="s">
        <v>5222</v>
      </c>
      <c r="DY92" s="18" t="s">
        <v>106</v>
      </c>
      <c r="DZ92" s="18" t="s">
        <v>113</v>
      </c>
      <c r="EA92" s="18" t="s">
        <v>5285</v>
      </c>
      <c r="EB92" s="18">
        <v>791</v>
      </c>
      <c r="EC92" s="18" t="s">
        <v>106</v>
      </c>
      <c r="ED92" s="18" t="s">
        <v>5176</v>
      </c>
      <c r="EE92" s="18" t="s">
        <v>113</v>
      </c>
      <c r="EF92" s="18" t="s">
        <v>113</v>
      </c>
      <c r="EG92" s="18" t="s">
        <v>5404</v>
      </c>
      <c r="EH92" s="18" t="s">
        <v>5203</v>
      </c>
      <c r="EI92" s="18" t="s">
        <v>5204</v>
      </c>
      <c r="EJ92" s="18" t="s">
        <v>5287</v>
      </c>
      <c r="EK92" s="18" t="s">
        <v>113</v>
      </c>
      <c r="EL92" s="18" t="s">
        <v>5667</v>
      </c>
      <c r="EM92" s="18" t="s">
        <v>5668</v>
      </c>
      <c r="EN92" s="18" t="s">
        <v>113</v>
      </c>
      <c r="EO92" s="18" t="s">
        <v>113</v>
      </c>
      <c r="EP92" s="18" t="s">
        <v>113</v>
      </c>
      <c r="EQ92" s="18" t="s">
        <v>113</v>
      </c>
      <c r="ER92" s="18" t="s">
        <v>5206</v>
      </c>
      <c r="ES92" s="18" t="s">
        <v>5153</v>
      </c>
      <c r="ET92" s="18" t="s">
        <v>5154</v>
      </c>
      <c r="EU92" s="18" t="s">
        <v>5318</v>
      </c>
      <c r="EV92" s="18" t="s">
        <v>5647</v>
      </c>
      <c r="EW92" s="18" t="s">
        <v>5669</v>
      </c>
      <c r="EX92" s="18" t="s">
        <v>5158</v>
      </c>
      <c r="EY92" s="18" t="s">
        <v>5229</v>
      </c>
      <c r="EZ92" s="18" t="s">
        <v>5160</v>
      </c>
      <c r="FA92" s="18" t="s">
        <v>144</v>
      </c>
      <c r="FB92" s="18" t="s">
        <v>5161</v>
      </c>
    </row>
    <row r="93" spans="1:158" ht="10.5" customHeight="1" x14ac:dyDescent="0.2">
      <c r="A93" s="16">
        <v>41</v>
      </c>
      <c r="B93" s="16" t="s">
        <v>1258</v>
      </c>
      <c r="C93" s="16" t="s">
        <v>1257</v>
      </c>
      <c r="D93" s="16">
        <v>21559</v>
      </c>
      <c r="E93" s="16" t="s">
        <v>6658</v>
      </c>
      <c r="F93" s="18" t="s">
        <v>1257</v>
      </c>
      <c r="G93" s="18" t="s">
        <v>106</v>
      </c>
      <c r="H93" s="15" t="s">
        <v>5127</v>
      </c>
      <c r="I93" s="18">
        <v>19</v>
      </c>
      <c r="J93" s="18">
        <v>6</v>
      </c>
      <c r="K93" s="18">
        <v>13</v>
      </c>
      <c r="L93" s="18">
        <v>0</v>
      </c>
      <c r="M93" s="18" t="s">
        <v>5183</v>
      </c>
      <c r="N93" s="18" t="s">
        <v>5670</v>
      </c>
      <c r="O93" s="18">
        <v>46775</v>
      </c>
      <c r="T93" s="18" t="s">
        <v>111</v>
      </c>
      <c r="U93" s="18" t="s">
        <v>5250</v>
      </c>
      <c r="V93" s="18" t="s">
        <v>113</v>
      </c>
      <c r="W93" s="18" t="s">
        <v>5211</v>
      </c>
      <c r="Y93" s="18" t="s">
        <v>5162</v>
      </c>
      <c r="Z93" s="18" t="s">
        <v>106</v>
      </c>
      <c r="AA93" s="18" t="s">
        <v>5163</v>
      </c>
      <c r="AB93" s="18" t="s">
        <v>179</v>
      </c>
      <c r="AC93" s="18" t="s">
        <v>5127</v>
      </c>
      <c r="AD93" s="18" t="s">
        <v>5127</v>
      </c>
      <c r="AE93" s="18" t="s">
        <v>5127</v>
      </c>
      <c r="AF93" s="18" t="s">
        <v>5127</v>
      </c>
      <c r="AG93" s="18" t="s">
        <v>5127</v>
      </c>
      <c r="AH93" s="18" t="s">
        <v>5127</v>
      </c>
      <c r="AI93" s="18">
        <v>1</v>
      </c>
      <c r="AK93" s="18" t="s">
        <v>5279</v>
      </c>
      <c r="AN93" s="18">
        <v>1110</v>
      </c>
      <c r="AO93" s="18" t="s">
        <v>5186</v>
      </c>
      <c r="AP93" s="18" t="s">
        <v>5671</v>
      </c>
      <c r="AQ93" s="18" t="s">
        <v>5252</v>
      </c>
      <c r="AR93" s="18" t="s">
        <v>5132</v>
      </c>
      <c r="AT93" s="17">
        <f>(365*D93*0.7)/1000</f>
        <v>5508.3244999999997</v>
      </c>
      <c r="AU93" s="17">
        <f t="shared" si="2"/>
        <v>566.16</v>
      </c>
      <c r="AV93" s="18">
        <v>566.16</v>
      </c>
      <c r="AW93" s="18">
        <v>0</v>
      </c>
      <c r="AY93" s="18" t="s">
        <v>5334</v>
      </c>
      <c r="BG93" s="18" t="s">
        <v>5169</v>
      </c>
      <c r="BQ93" s="18">
        <v>15.43</v>
      </c>
      <c r="BR93" s="18">
        <v>9.76</v>
      </c>
      <c r="BS93" s="18">
        <v>8.68</v>
      </c>
      <c r="BT93" s="18">
        <v>10.35</v>
      </c>
      <c r="BU93" s="18">
        <v>1.1100000000000001</v>
      </c>
      <c r="BV93" s="18">
        <f>SUM(BQ93:BU93)</f>
        <v>45.33</v>
      </c>
      <c r="BW93" s="15">
        <f t="shared" si="3"/>
        <v>45.33</v>
      </c>
      <c r="BY93" s="18" t="s">
        <v>5239</v>
      </c>
      <c r="BZ93" s="18" t="s">
        <v>5528</v>
      </c>
      <c r="CD93" s="18" t="s">
        <v>5127</v>
      </c>
      <c r="CE93" s="18" t="s">
        <v>5127</v>
      </c>
      <c r="CF93" s="18" t="s">
        <v>5135</v>
      </c>
      <c r="CG93" s="18" t="s">
        <v>5193</v>
      </c>
      <c r="CH93" s="18" t="s">
        <v>5241</v>
      </c>
      <c r="CI93" s="18" t="s">
        <v>5138</v>
      </c>
      <c r="CJ93" s="18" t="s">
        <v>5196</v>
      </c>
      <c r="CK93" s="18" t="s">
        <v>5197</v>
      </c>
      <c r="CL93" s="18">
        <v>1</v>
      </c>
      <c r="CM93" s="18">
        <v>0</v>
      </c>
      <c r="CN93" s="18">
        <v>0</v>
      </c>
      <c r="CO93" s="18">
        <v>0</v>
      </c>
      <c r="CP93" s="18">
        <v>1</v>
      </c>
      <c r="CQ93" s="18">
        <v>0</v>
      </c>
      <c r="CR93" s="18">
        <v>0</v>
      </c>
      <c r="CS93" s="18" t="s">
        <v>5141</v>
      </c>
      <c r="CT93" s="18">
        <v>0</v>
      </c>
      <c r="CU93" s="18">
        <v>0</v>
      </c>
      <c r="CV93" s="18">
        <v>0</v>
      </c>
      <c r="CX93" s="18">
        <v>1</v>
      </c>
      <c r="CY93" s="18">
        <v>1</v>
      </c>
      <c r="CZ93" s="18">
        <v>1</v>
      </c>
      <c r="DA93" s="18">
        <v>1</v>
      </c>
      <c r="DB93" s="18">
        <v>1</v>
      </c>
      <c r="DC93" s="18">
        <v>1</v>
      </c>
      <c r="DD93" s="18">
        <v>1</v>
      </c>
      <c r="DE93" s="18">
        <v>1</v>
      </c>
      <c r="DF93" s="18" t="s">
        <v>5141</v>
      </c>
      <c r="DG93" s="18">
        <v>1</v>
      </c>
      <c r="DH93" s="18">
        <v>1</v>
      </c>
      <c r="DI93" s="18">
        <v>1</v>
      </c>
      <c r="DK93" s="18">
        <v>1</v>
      </c>
      <c r="DL93" s="18">
        <v>1</v>
      </c>
      <c r="DM93" s="18" t="s">
        <v>5127</v>
      </c>
      <c r="DN93" s="18" t="s">
        <v>5258</v>
      </c>
      <c r="DO93" s="18" t="s">
        <v>5259</v>
      </c>
      <c r="DP93" s="18" t="s">
        <v>113</v>
      </c>
      <c r="DS93" s="18">
        <v>0</v>
      </c>
      <c r="DT93" s="18">
        <v>1</v>
      </c>
      <c r="DU93" s="18">
        <v>1</v>
      </c>
      <c r="DV93" s="18" t="s">
        <v>5377</v>
      </c>
      <c r="DX93" s="18" t="s">
        <v>5145</v>
      </c>
      <c r="DY93" s="18" t="s">
        <v>106</v>
      </c>
      <c r="DZ93" s="18" t="s">
        <v>113</v>
      </c>
      <c r="EA93" s="18" t="s">
        <v>5453</v>
      </c>
      <c r="EB93" s="18" t="s">
        <v>5672</v>
      </c>
      <c r="EC93" s="18" t="s">
        <v>106</v>
      </c>
      <c r="ED93" s="18" t="s">
        <v>5176</v>
      </c>
      <c r="EE93" s="18" t="s">
        <v>106</v>
      </c>
      <c r="EF93" s="18" t="s">
        <v>113</v>
      </c>
      <c r="EG93" s="18" t="s">
        <v>5148</v>
      </c>
      <c r="EH93" s="18" t="s">
        <v>5203</v>
      </c>
      <c r="EI93" s="18" t="s">
        <v>5204</v>
      </c>
      <c r="EJ93" s="18" t="s">
        <v>5245</v>
      </c>
      <c r="EN93" s="18" t="s">
        <v>113</v>
      </c>
      <c r="EO93" s="18" t="s">
        <v>113</v>
      </c>
      <c r="EP93" s="18" t="s">
        <v>106</v>
      </c>
      <c r="EQ93" s="18" t="s">
        <v>106</v>
      </c>
      <c r="ER93" s="18" t="s">
        <v>5206</v>
      </c>
      <c r="ES93" s="18" t="s">
        <v>5153</v>
      </c>
      <c r="ET93" s="18" t="s">
        <v>5154</v>
      </c>
      <c r="EU93" s="18" t="s">
        <v>5318</v>
      </c>
      <c r="EV93" s="18" t="s">
        <v>5566</v>
      </c>
      <c r="EW93" s="18" t="s">
        <v>5609</v>
      </c>
      <c r="EX93" s="18" t="s">
        <v>5158</v>
      </c>
      <c r="EY93" s="18" t="s">
        <v>5229</v>
      </c>
      <c r="EZ93" s="18" t="s">
        <v>5160</v>
      </c>
      <c r="FA93" s="18" t="s">
        <v>144</v>
      </c>
      <c r="FB93" s="18" t="s">
        <v>5161</v>
      </c>
    </row>
    <row r="94" spans="1:158" ht="10.5" customHeight="1" x14ac:dyDescent="0.2">
      <c r="A94" s="16">
        <v>41</v>
      </c>
      <c r="B94" s="16" t="s">
        <v>1275</v>
      </c>
      <c r="C94" s="16" t="s">
        <v>1274</v>
      </c>
      <c r="D94" s="16">
        <v>82359</v>
      </c>
      <c r="E94" s="16" t="s">
        <v>6658</v>
      </c>
      <c r="F94" s="18" t="s">
        <v>1274</v>
      </c>
      <c r="G94" s="18" t="s">
        <v>106</v>
      </c>
      <c r="H94" s="15" t="s">
        <v>5127</v>
      </c>
      <c r="I94" s="18">
        <v>14</v>
      </c>
      <c r="J94" s="18">
        <v>10</v>
      </c>
      <c r="K94" s="18">
        <v>4</v>
      </c>
      <c r="L94" s="18">
        <v>0</v>
      </c>
      <c r="M94" s="18" t="s">
        <v>5183</v>
      </c>
      <c r="N94" s="18" t="s">
        <v>230</v>
      </c>
      <c r="T94" s="18" t="s">
        <v>111</v>
      </c>
      <c r="U94" s="18" t="s">
        <v>5123</v>
      </c>
      <c r="V94" s="18" t="s">
        <v>106</v>
      </c>
      <c r="W94" s="18" t="s">
        <v>113</v>
      </c>
      <c r="Y94" s="18" t="s">
        <v>5162</v>
      </c>
      <c r="Z94" s="18" t="s">
        <v>106</v>
      </c>
      <c r="AA94" s="18" t="s">
        <v>5126</v>
      </c>
      <c r="AC94" s="18" t="s">
        <v>111</v>
      </c>
      <c r="AD94" s="18" t="s">
        <v>5127</v>
      </c>
      <c r="AE94" s="18" t="s">
        <v>5127</v>
      </c>
      <c r="AF94" s="18" t="s">
        <v>111</v>
      </c>
      <c r="AG94" s="18" t="s">
        <v>5127</v>
      </c>
      <c r="AH94" s="18" t="s">
        <v>111</v>
      </c>
      <c r="AI94" s="18">
        <v>0</v>
      </c>
      <c r="AK94" s="18" t="s">
        <v>5657</v>
      </c>
      <c r="AN94" s="18">
        <v>1440</v>
      </c>
      <c r="AO94" s="18" t="s">
        <v>5129</v>
      </c>
      <c r="AP94" s="18" t="s">
        <v>5673</v>
      </c>
      <c r="AQ94" s="18" t="s">
        <v>5311</v>
      </c>
      <c r="AR94" s="18" t="s">
        <v>5168</v>
      </c>
      <c r="AT94" s="17">
        <f>(365*D94*0.7)/1000</f>
        <v>21042.7245</v>
      </c>
      <c r="AU94" s="17">
        <f t="shared" si="2"/>
        <v>1080</v>
      </c>
      <c r="AV94" s="18">
        <v>1080</v>
      </c>
      <c r="AW94" s="18">
        <v>0</v>
      </c>
      <c r="AY94" s="18" t="s">
        <v>5217</v>
      </c>
      <c r="BG94" s="18" t="s">
        <v>5133</v>
      </c>
      <c r="BJ94" s="18">
        <f>135/1000</f>
        <v>0.13500000000000001</v>
      </c>
      <c r="BQ94" s="18">
        <v>75</v>
      </c>
      <c r="BR94" s="18">
        <v>3</v>
      </c>
      <c r="BS94" s="18">
        <v>110</v>
      </c>
      <c r="BT94" s="18">
        <v>30</v>
      </c>
      <c r="BU94" s="18">
        <v>7</v>
      </c>
      <c r="BV94" s="18">
        <f>SUM(BQ94:BU94)</f>
        <v>225</v>
      </c>
      <c r="BW94" s="15">
        <f t="shared" si="3"/>
        <v>225</v>
      </c>
      <c r="BY94" s="18" t="s">
        <v>5134</v>
      </c>
      <c r="BZ94" s="18" t="s">
        <v>193</v>
      </c>
      <c r="CD94" s="18" t="s">
        <v>5127</v>
      </c>
      <c r="CE94" s="18" t="s">
        <v>111</v>
      </c>
      <c r="CF94" s="18" t="s">
        <v>5135</v>
      </c>
      <c r="CG94" s="18" t="s">
        <v>5323</v>
      </c>
      <c r="CH94" s="18" t="s">
        <v>111</v>
      </c>
      <c r="CI94" s="18" t="s">
        <v>5351</v>
      </c>
      <c r="CJ94" s="18" t="s">
        <v>5139</v>
      </c>
      <c r="CK94" s="18" t="s">
        <v>5256</v>
      </c>
      <c r="CL94" s="18">
        <v>1</v>
      </c>
      <c r="CM94" s="18">
        <v>0</v>
      </c>
      <c r="CN94" s="18">
        <v>0</v>
      </c>
      <c r="CO94" s="18">
        <v>1</v>
      </c>
      <c r="CP94" s="18">
        <v>0</v>
      </c>
      <c r="CQ94" s="18">
        <v>1</v>
      </c>
      <c r="CR94" s="18">
        <v>0</v>
      </c>
      <c r="CS94" s="18" t="s">
        <v>5141</v>
      </c>
      <c r="CT94" s="18">
        <v>0</v>
      </c>
      <c r="CU94" s="18">
        <v>0</v>
      </c>
      <c r="CV94" s="18">
        <v>0</v>
      </c>
      <c r="CX94" s="18">
        <v>1</v>
      </c>
      <c r="CY94" s="18">
        <v>1</v>
      </c>
      <c r="CZ94" s="18">
        <v>0</v>
      </c>
      <c r="DA94" s="18">
        <v>0</v>
      </c>
      <c r="DB94" s="18">
        <v>1</v>
      </c>
      <c r="DC94" s="18">
        <v>0</v>
      </c>
      <c r="DD94" s="18">
        <v>1</v>
      </c>
      <c r="DE94" s="18">
        <v>0</v>
      </c>
      <c r="DF94" s="18" t="s">
        <v>5141</v>
      </c>
      <c r="DG94" s="18">
        <v>0</v>
      </c>
      <c r="DH94" s="18">
        <v>0</v>
      </c>
      <c r="DI94" s="18">
        <v>1</v>
      </c>
      <c r="DK94" s="18">
        <v>0</v>
      </c>
      <c r="DL94" s="18">
        <v>0</v>
      </c>
      <c r="DM94" s="18" t="s">
        <v>5127</v>
      </c>
      <c r="DN94" s="18" t="s">
        <v>5258</v>
      </c>
      <c r="DO94" s="18" t="s">
        <v>5315</v>
      </c>
      <c r="DP94" s="18" t="s">
        <v>106</v>
      </c>
      <c r="DQ94" s="18" t="s">
        <v>5168</v>
      </c>
      <c r="DS94" s="18">
        <v>0</v>
      </c>
      <c r="DT94" s="18">
        <v>0</v>
      </c>
      <c r="DU94" s="18">
        <v>1</v>
      </c>
      <c r="DV94" s="18" t="s">
        <v>5520</v>
      </c>
      <c r="DX94" s="18" t="s">
        <v>5145</v>
      </c>
      <c r="DY94" s="18" t="s">
        <v>106</v>
      </c>
      <c r="DZ94" s="18" t="s">
        <v>106</v>
      </c>
      <c r="EA94" s="18" t="s">
        <v>5146</v>
      </c>
      <c r="EB94" s="18">
        <v>360</v>
      </c>
      <c r="EC94" s="18" t="s">
        <v>106</v>
      </c>
      <c r="ED94" s="18" t="s">
        <v>5147</v>
      </c>
      <c r="EE94" s="18" t="s">
        <v>113</v>
      </c>
      <c r="EF94" s="18" t="s">
        <v>113</v>
      </c>
      <c r="EG94" s="18" t="s">
        <v>5674</v>
      </c>
      <c r="EH94" s="18" t="s">
        <v>5203</v>
      </c>
      <c r="EI94" s="18" t="s">
        <v>5204</v>
      </c>
      <c r="EJ94" s="18" t="s">
        <v>5675</v>
      </c>
      <c r="EK94" s="18" t="s">
        <v>113</v>
      </c>
      <c r="EL94" s="18" t="s">
        <v>5676</v>
      </c>
      <c r="EM94" s="18" t="s">
        <v>5476</v>
      </c>
      <c r="EN94" s="18" t="s">
        <v>113</v>
      </c>
      <c r="EO94" s="18" t="s">
        <v>113</v>
      </c>
      <c r="EP94" s="18" t="s">
        <v>113</v>
      </c>
      <c r="EQ94" s="18" t="s">
        <v>113</v>
      </c>
      <c r="ER94" s="18" t="s">
        <v>5206</v>
      </c>
      <c r="ES94" s="18" t="s">
        <v>5153</v>
      </c>
      <c r="ET94" s="18" t="s">
        <v>5154</v>
      </c>
      <c r="EU94" s="18" t="s">
        <v>5318</v>
      </c>
      <c r="EV94" s="18" t="s">
        <v>5372</v>
      </c>
      <c r="EW94" s="18" t="s">
        <v>5669</v>
      </c>
      <c r="EX94" s="18" t="s">
        <v>5158</v>
      </c>
      <c r="EY94" s="18" t="s">
        <v>5248</v>
      </c>
      <c r="EZ94" s="18" t="s">
        <v>5160</v>
      </c>
      <c r="FA94" s="18" t="s">
        <v>144</v>
      </c>
      <c r="FB94" s="18" t="s">
        <v>5161</v>
      </c>
    </row>
    <row r="95" spans="1:158" ht="10.5" customHeight="1" x14ac:dyDescent="0.2">
      <c r="A95" s="16">
        <v>41</v>
      </c>
      <c r="B95" s="16" t="s">
        <v>1275</v>
      </c>
      <c r="C95" s="16" t="s">
        <v>1274</v>
      </c>
      <c r="D95" s="16">
        <v>82359</v>
      </c>
      <c r="E95" s="16" t="s">
        <v>6658</v>
      </c>
      <c r="F95" s="18" t="s">
        <v>1274</v>
      </c>
      <c r="G95" s="18" t="s">
        <v>106</v>
      </c>
      <c r="H95" s="15" t="s">
        <v>5127</v>
      </c>
      <c r="I95" s="18">
        <v>19</v>
      </c>
      <c r="J95" s="18">
        <v>7</v>
      </c>
      <c r="K95" s="18">
        <v>10</v>
      </c>
      <c r="L95" s="18">
        <v>2</v>
      </c>
      <c r="M95" s="18" t="s">
        <v>5183</v>
      </c>
      <c r="N95" s="18" t="s">
        <v>114</v>
      </c>
      <c r="T95" s="18" t="s">
        <v>5501</v>
      </c>
      <c r="U95" s="18" t="s">
        <v>5185</v>
      </c>
      <c r="V95" s="18" t="s">
        <v>106</v>
      </c>
      <c r="W95" s="18" t="s">
        <v>5124</v>
      </c>
      <c r="Y95" s="18" t="s">
        <v>5524</v>
      </c>
      <c r="Z95" s="18" t="s">
        <v>113</v>
      </c>
      <c r="AA95" s="18" t="s">
        <v>5163</v>
      </c>
      <c r="AB95" s="18" t="s">
        <v>179</v>
      </c>
      <c r="AC95" s="18" t="s">
        <v>111</v>
      </c>
      <c r="AD95" s="18" t="s">
        <v>111</v>
      </c>
      <c r="AE95" s="18" t="s">
        <v>111</v>
      </c>
      <c r="AF95" s="18" t="s">
        <v>111</v>
      </c>
      <c r="AG95" s="18" t="s">
        <v>5127</v>
      </c>
      <c r="AH95" s="18" t="s">
        <v>111</v>
      </c>
      <c r="AI95" s="18">
        <v>0</v>
      </c>
      <c r="AK95" s="18" t="s">
        <v>5509</v>
      </c>
      <c r="AN95" s="18" t="s">
        <v>5677</v>
      </c>
      <c r="AO95" s="18" t="s">
        <v>5129</v>
      </c>
      <c r="AP95" s="18" t="s">
        <v>5678</v>
      </c>
      <c r="AQ95" s="18" t="s">
        <v>5393</v>
      </c>
      <c r="AR95" s="18" t="s">
        <v>5168</v>
      </c>
      <c r="AT95" s="17">
        <f>(365*D95*0.7)/1000</f>
        <v>21042.7245</v>
      </c>
      <c r="AU95" s="17">
        <f t="shared" si="2"/>
        <v>517.69000000000005</v>
      </c>
      <c r="AV95" s="18">
        <v>517.69000000000005</v>
      </c>
      <c r="AW95" s="18">
        <v>0</v>
      </c>
      <c r="AY95" s="18" t="s">
        <v>164</v>
      </c>
      <c r="BG95" s="18" t="s">
        <v>5169</v>
      </c>
      <c r="BQ95" s="18">
        <v>252</v>
      </c>
      <c r="BR95" s="18">
        <v>88.8</v>
      </c>
      <c r="BS95" s="18">
        <v>0</v>
      </c>
      <c r="BT95" s="18">
        <v>115.22</v>
      </c>
      <c r="BU95" s="18">
        <v>0</v>
      </c>
      <c r="BV95" s="18">
        <f>SUM(BQ95:BU95)</f>
        <v>456.02</v>
      </c>
      <c r="BW95" s="15">
        <f t="shared" si="3"/>
        <v>456.02</v>
      </c>
      <c r="BY95" s="18" t="s">
        <v>5134</v>
      </c>
      <c r="BZ95" s="18" t="s">
        <v>193</v>
      </c>
      <c r="CD95" s="18" t="s">
        <v>5127</v>
      </c>
      <c r="CE95" s="18" t="s">
        <v>111</v>
      </c>
      <c r="CF95" s="18" t="s">
        <v>5135</v>
      </c>
      <c r="CG95" s="18" t="s">
        <v>5679</v>
      </c>
      <c r="CH95" s="18" t="s">
        <v>5504</v>
      </c>
      <c r="CI95" s="18" t="s">
        <v>5138</v>
      </c>
      <c r="CJ95" s="18" t="s">
        <v>5680</v>
      </c>
      <c r="CK95" s="18" t="s">
        <v>5256</v>
      </c>
      <c r="CL95" s="18">
        <v>1</v>
      </c>
      <c r="CM95" s="18">
        <v>0</v>
      </c>
      <c r="CN95" s="18">
        <v>0</v>
      </c>
      <c r="CO95" s="18">
        <v>1</v>
      </c>
      <c r="CP95" s="18">
        <v>0</v>
      </c>
      <c r="CQ95" s="18">
        <v>1</v>
      </c>
      <c r="CR95" s="18">
        <v>0</v>
      </c>
      <c r="CS95" s="18" t="s">
        <v>5141</v>
      </c>
      <c r="CT95" s="18">
        <v>0</v>
      </c>
      <c r="CU95" s="18">
        <v>0</v>
      </c>
      <c r="CV95" s="18">
        <v>0</v>
      </c>
      <c r="CX95" s="18">
        <v>1</v>
      </c>
      <c r="CY95" s="18">
        <v>2</v>
      </c>
      <c r="CZ95" s="18">
        <v>1</v>
      </c>
      <c r="DA95" s="18">
        <v>1</v>
      </c>
      <c r="DB95" s="18">
        <v>2</v>
      </c>
      <c r="DC95" s="18">
        <v>1</v>
      </c>
      <c r="DD95" s="18">
        <v>1</v>
      </c>
      <c r="DE95" s="18">
        <v>0</v>
      </c>
      <c r="DF95" s="18" t="s">
        <v>5141</v>
      </c>
      <c r="DG95" s="18">
        <v>1</v>
      </c>
      <c r="DH95" s="18">
        <v>1</v>
      </c>
      <c r="DI95" s="18">
        <v>2</v>
      </c>
      <c r="DK95" s="18">
        <v>0</v>
      </c>
      <c r="DL95" s="18">
        <v>1</v>
      </c>
      <c r="DM95" s="18" t="s">
        <v>5127</v>
      </c>
      <c r="DN95" s="18" t="s">
        <v>5299</v>
      </c>
      <c r="DO95" s="18" t="s">
        <v>5681</v>
      </c>
      <c r="DP95" s="18" t="s">
        <v>106</v>
      </c>
      <c r="DQ95" s="18" t="s">
        <v>5168</v>
      </c>
      <c r="DS95" s="18">
        <v>0</v>
      </c>
      <c r="DT95" s="18">
        <v>1</v>
      </c>
      <c r="DU95" s="18">
        <v>1</v>
      </c>
      <c r="DV95" s="18" t="s">
        <v>5342</v>
      </c>
      <c r="DX95" s="18" t="s">
        <v>5222</v>
      </c>
      <c r="DY95" s="18" t="s">
        <v>106</v>
      </c>
      <c r="DZ95" s="18" t="s">
        <v>113</v>
      </c>
      <c r="EA95" s="18" t="s">
        <v>5146</v>
      </c>
      <c r="EB95" s="18" t="s">
        <v>5682</v>
      </c>
      <c r="EC95" s="18" t="s">
        <v>106</v>
      </c>
      <c r="ED95" s="18" t="s">
        <v>5147</v>
      </c>
      <c r="EE95" s="18" t="s">
        <v>106</v>
      </c>
      <c r="EF95" s="18" t="s">
        <v>106</v>
      </c>
      <c r="EG95" s="18" t="s">
        <v>5148</v>
      </c>
      <c r="EH95" s="18" t="s">
        <v>5149</v>
      </c>
      <c r="EI95" s="18" t="s">
        <v>5204</v>
      </c>
      <c r="EJ95" s="18" t="s">
        <v>5530</v>
      </c>
      <c r="EK95" s="18" t="s">
        <v>113</v>
      </c>
      <c r="EL95" s="18" t="s">
        <v>5683</v>
      </c>
      <c r="EM95" s="18" t="s">
        <v>5684</v>
      </c>
      <c r="EN95" s="18" t="s">
        <v>113</v>
      </c>
      <c r="EO95" s="18" t="s">
        <v>113</v>
      </c>
      <c r="EP95" s="18" t="s">
        <v>113</v>
      </c>
      <c r="EQ95" s="18" t="s">
        <v>113</v>
      </c>
      <c r="ER95" s="18" t="s">
        <v>5206</v>
      </c>
      <c r="ES95" s="18" t="s">
        <v>5153</v>
      </c>
      <c r="ET95" s="18" t="s">
        <v>5154</v>
      </c>
      <c r="EU95" s="18" t="s">
        <v>5318</v>
      </c>
      <c r="EV95" s="18" t="s">
        <v>179</v>
      </c>
      <c r="EW95" s="18" t="s">
        <v>179</v>
      </c>
      <c r="EX95" s="18" t="s">
        <v>5158</v>
      </c>
      <c r="EY95" s="18" t="s">
        <v>5553</v>
      </c>
      <c r="EZ95" s="18" t="s">
        <v>5160</v>
      </c>
      <c r="FA95" s="18" t="s">
        <v>144</v>
      </c>
      <c r="FB95" s="18" t="s">
        <v>5161</v>
      </c>
    </row>
    <row r="96" spans="1:158" ht="10.5" customHeight="1" x14ac:dyDescent="0.2">
      <c r="A96" s="16">
        <v>41</v>
      </c>
      <c r="B96" s="16" t="s">
        <v>1290</v>
      </c>
      <c r="C96" s="16" t="s">
        <v>1289</v>
      </c>
      <c r="D96" s="16">
        <v>11684</v>
      </c>
      <c r="E96" s="16" t="s">
        <v>6656</v>
      </c>
      <c r="F96" s="18" t="s">
        <v>1289</v>
      </c>
      <c r="G96" s="18" t="s">
        <v>106</v>
      </c>
      <c r="H96" s="15" t="s">
        <v>5127</v>
      </c>
      <c r="I96" s="18">
        <v>12</v>
      </c>
      <c r="J96" s="18">
        <v>4</v>
      </c>
      <c r="K96" s="18">
        <v>8</v>
      </c>
      <c r="L96" s="18">
        <v>0</v>
      </c>
      <c r="M96" s="18" t="s">
        <v>5183</v>
      </c>
      <c r="N96" s="18" t="s">
        <v>5685</v>
      </c>
      <c r="O96" s="18">
        <v>46548</v>
      </c>
      <c r="T96" s="18" t="s">
        <v>111</v>
      </c>
      <c r="U96" s="18" t="s">
        <v>5250</v>
      </c>
      <c r="V96" s="18" t="s">
        <v>113</v>
      </c>
      <c r="W96" s="18" t="s">
        <v>5211</v>
      </c>
      <c r="Y96" s="18" t="s">
        <v>5540</v>
      </c>
      <c r="Z96" s="18" t="s">
        <v>113</v>
      </c>
      <c r="AA96" s="18" t="s">
        <v>5163</v>
      </c>
      <c r="AB96" s="18" t="s">
        <v>5233</v>
      </c>
      <c r="AC96" s="18" t="s">
        <v>111</v>
      </c>
      <c r="AD96" s="18" t="s">
        <v>111</v>
      </c>
      <c r="AE96" s="18" t="s">
        <v>111</v>
      </c>
      <c r="AF96" s="18" t="s">
        <v>111</v>
      </c>
      <c r="AG96" s="18" t="s">
        <v>5127</v>
      </c>
      <c r="AH96" s="18" t="s">
        <v>111</v>
      </c>
      <c r="AI96" s="18">
        <v>1</v>
      </c>
      <c r="AK96" s="18" t="s">
        <v>5164</v>
      </c>
      <c r="AN96" s="18">
        <v>850</v>
      </c>
      <c r="AO96" s="18" t="s">
        <v>5165</v>
      </c>
      <c r="AP96" s="18" t="s">
        <v>5686</v>
      </c>
      <c r="AQ96" s="18" t="s">
        <v>5687</v>
      </c>
      <c r="AR96" s="18" t="s">
        <v>5464</v>
      </c>
      <c r="AT96" s="17">
        <f>(365*D96*0.7)/1000</f>
        <v>2985.2620000000002</v>
      </c>
      <c r="AU96" s="17">
        <f t="shared" si="2"/>
        <v>213</v>
      </c>
      <c r="AV96" s="18">
        <v>213</v>
      </c>
      <c r="AW96" s="18">
        <v>0</v>
      </c>
      <c r="AY96" s="18" t="s">
        <v>5253</v>
      </c>
      <c r="BG96" s="18" t="s">
        <v>5281</v>
      </c>
      <c r="BQ96" s="18">
        <v>65</v>
      </c>
      <c r="BR96" s="18">
        <v>32</v>
      </c>
      <c r="BS96" s="18">
        <v>32</v>
      </c>
      <c r="BT96" s="18">
        <v>13</v>
      </c>
      <c r="BU96" s="18">
        <v>506</v>
      </c>
      <c r="BV96" s="18">
        <v>648</v>
      </c>
      <c r="BW96" s="15">
        <f t="shared" si="3"/>
        <v>648</v>
      </c>
      <c r="BY96" s="18" t="s">
        <v>5239</v>
      </c>
      <c r="BZ96" s="18" t="s">
        <v>5688</v>
      </c>
      <c r="CD96" s="18" t="s">
        <v>5127</v>
      </c>
      <c r="CE96" s="18" t="s">
        <v>111</v>
      </c>
      <c r="CF96" s="18" t="s">
        <v>5135</v>
      </c>
      <c r="CG96" s="18" t="s">
        <v>5323</v>
      </c>
      <c r="CH96" s="18" t="s">
        <v>111</v>
      </c>
      <c r="CI96" s="18" t="s">
        <v>5138</v>
      </c>
      <c r="CJ96" s="18" t="s">
        <v>5139</v>
      </c>
      <c r="CK96" s="18" t="s">
        <v>5197</v>
      </c>
      <c r="CL96" s="18">
        <v>2</v>
      </c>
      <c r="CM96" s="18">
        <v>0</v>
      </c>
      <c r="CN96" s="18">
        <v>0</v>
      </c>
      <c r="CO96" s="18">
        <v>1</v>
      </c>
      <c r="CP96" s="18">
        <v>0</v>
      </c>
      <c r="CQ96" s="18">
        <v>0</v>
      </c>
      <c r="CR96" s="18">
        <v>5</v>
      </c>
      <c r="CS96" s="18" t="s">
        <v>5141</v>
      </c>
      <c r="CT96" s="18">
        <v>0</v>
      </c>
      <c r="CU96" s="18">
        <v>0</v>
      </c>
      <c r="CV96" s="18">
        <v>0</v>
      </c>
      <c r="CX96" s="18">
        <v>1</v>
      </c>
      <c r="CY96" s="18">
        <v>1</v>
      </c>
      <c r="CZ96" s="18">
        <v>1</v>
      </c>
      <c r="DA96" s="18">
        <v>1</v>
      </c>
      <c r="DB96" s="18">
        <v>1</v>
      </c>
      <c r="DC96" s="18">
        <v>1</v>
      </c>
      <c r="DD96" s="18">
        <v>1</v>
      </c>
      <c r="DE96" s="18" t="s">
        <v>5141</v>
      </c>
      <c r="DF96" s="18" t="s">
        <v>5141</v>
      </c>
      <c r="DG96" s="18">
        <v>1</v>
      </c>
      <c r="DH96" s="18">
        <v>1</v>
      </c>
      <c r="DI96" s="18">
        <v>2</v>
      </c>
      <c r="DK96" s="18">
        <v>0</v>
      </c>
      <c r="DL96" s="18">
        <v>1</v>
      </c>
      <c r="DM96" s="18" t="s">
        <v>5127</v>
      </c>
      <c r="DN96" s="18" t="s">
        <v>5314</v>
      </c>
      <c r="DO96" s="18" t="s">
        <v>5143</v>
      </c>
      <c r="DP96" s="18" t="s">
        <v>113</v>
      </c>
      <c r="DS96" s="18">
        <v>0</v>
      </c>
      <c r="DT96" s="18">
        <v>0</v>
      </c>
      <c r="DU96" s="18">
        <v>2</v>
      </c>
      <c r="DV96" s="18" t="s">
        <v>5144</v>
      </c>
      <c r="DX96" s="18" t="s">
        <v>5222</v>
      </c>
      <c r="DY96" s="18" t="s">
        <v>106</v>
      </c>
      <c r="DZ96" s="18" t="s">
        <v>113</v>
      </c>
      <c r="EA96" s="18" t="s">
        <v>5146</v>
      </c>
      <c r="EB96" s="18">
        <v>648</v>
      </c>
      <c r="EC96" s="18" t="s">
        <v>113</v>
      </c>
      <c r="ED96" s="18" t="s">
        <v>5147</v>
      </c>
      <c r="EE96" s="18" t="s">
        <v>113</v>
      </c>
      <c r="EF96" s="18" t="s">
        <v>113</v>
      </c>
      <c r="EG96" s="18" t="s">
        <v>5404</v>
      </c>
      <c r="EH96" s="18" t="s">
        <v>5203</v>
      </c>
      <c r="EI96" s="18" t="s">
        <v>5204</v>
      </c>
      <c r="EJ96" s="18" t="s">
        <v>5361</v>
      </c>
      <c r="EN96" s="18" t="s">
        <v>113</v>
      </c>
      <c r="EO96" s="18" t="s">
        <v>113</v>
      </c>
      <c r="EP96" s="18" t="s">
        <v>113</v>
      </c>
      <c r="EQ96" s="18" t="s">
        <v>113</v>
      </c>
      <c r="ER96" s="18" t="s">
        <v>5289</v>
      </c>
      <c r="ES96" s="18" t="s">
        <v>5317</v>
      </c>
      <c r="ET96" s="18" t="s">
        <v>5154</v>
      </c>
      <c r="EU96" s="18" t="s">
        <v>5289</v>
      </c>
      <c r="EV96" s="18" t="s">
        <v>5566</v>
      </c>
      <c r="EW96" s="18" t="s">
        <v>5291</v>
      </c>
      <c r="EX96" s="18" t="s">
        <v>5158</v>
      </c>
      <c r="EY96" s="18" t="s">
        <v>5229</v>
      </c>
      <c r="EZ96" s="18" t="s">
        <v>5689</v>
      </c>
      <c r="FA96" s="18" t="s">
        <v>144</v>
      </c>
      <c r="FB96" s="18" t="s">
        <v>5161</v>
      </c>
    </row>
    <row r="97" spans="1:158" ht="10.5" customHeight="1" x14ac:dyDescent="0.2">
      <c r="A97" s="16">
        <v>41</v>
      </c>
      <c r="B97" s="16" t="s">
        <v>1297</v>
      </c>
      <c r="C97" s="16" t="s">
        <v>1296</v>
      </c>
      <c r="D97" s="16">
        <v>14975</v>
      </c>
      <c r="E97" s="16" t="s">
        <v>6656</v>
      </c>
      <c r="F97" s="18" t="s">
        <v>1296</v>
      </c>
      <c r="G97" s="18" t="s">
        <v>106</v>
      </c>
      <c r="H97" s="15" t="s">
        <v>5127</v>
      </c>
      <c r="I97" s="18">
        <v>5</v>
      </c>
      <c r="J97" s="18">
        <v>2</v>
      </c>
      <c r="K97" s="18">
        <v>3</v>
      </c>
      <c r="M97" s="18" t="s">
        <v>5183</v>
      </c>
      <c r="N97" s="18" t="s">
        <v>5690</v>
      </c>
      <c r="O97" s="18">
        <v>46897</v>
      </c>
      <c r="T97" s="18" t="s">
        <v>111</v>
      </c>
      <c r="U97" s="18" t="s">
        <v>5123</v>
      </c>
      <c r="V97" s="18" t="s">
        <v>106</v>
      </c>
      <c r="W97" s="18" t="s">
        <v>5124</v>
      </c>
      <c r="Y97" s="18" t="s">
        <v>5691</v>
      </c>
      <c r="Z97" s="18" t="s">
        <v>113</v>
      </c>
      <c r="AA97" s="18" t="s">
        <v>5163</v>
      </c>
      <c r="AB97" s="18" t="s">
        <v>5213</v>
      </c>
      <c r="AC97" s="18" t="s">
        <v>5127</v>
      </c>
      <c r="AD97" s="18" t="s">
        <v>5127</v>
      </c>
      <c r="AE97" s="18" t="s">
        <v>111</v>
      </c>
      <c r="AF97" s="18" t="s">
        <v>5127</v>
      </c>
      <c r="AG97" s="18" t="s">
        <v>5127</v>
      </c>
      <c r="AH97" s="18" t="s">
        <v>111</v>
      </c>
      <c r="AI97" s="18">
        <v>1</v>
      </c>
      <c r="AK97" s="18" t="s">
        <v>5164</v>
      </c>
      <c r="AN97" s="18">
        <v>200000</v>
      </c>
      <c r="AO97" s="18" t="s">
        <v>5391</v>
      </c>
      <c r="AP97" s="18" t="s">
        <v>5692</v>
      </c>
      <c r="AQ97" s="18" t="s">
        <v>164</v>
      </c>
      <c r="AR97" s="18" t="s">
        <v>179</v>
      </c>
      <c r="AT97" s="17">
        <f>(365*D97*0.7)/1000</f>
        <v>3826.1124999999997</v>
      </c>
      <c r="AU97" s="17">
        <f t="shared" si="2"/>
        <v>600</v>
      </c>
      <c r="AV97" s="18">
        <v>600</v>
      </c>
      <c r="AW97" s="18">
        <v>0</v>
      </c>
      <c r="AY97" s="18" t="s">
        <v>164</v>
      </c>
      <c r="BG97" s="18" t="s">
        <v>5400</v>
      </c>
      <c r="BQ97" s="18">
        <v>0</v>
      </c>
      <c r="BR97" s="18">
        <v>0</v>
      </c>
      <c r="BS97" s="18">
        <v>0</v>
      </c>
      <c r="BT97" s="18">
        <v>0</v>
      </c>
      <c r="BU97" s="18">
        <v>0</v>
      </c>
      <c r="BV97" s="18">
        <v>0</v>
      </c>
      <c r="BW97" s="15">
        <f t="shared" si="3"/>
        <v>0</v>
      </c>
      <c r="BY97" s="18" t="s">
        <v>5134</v>
      </c>
      <c r="BZ97" s="18" t="s">
        <v>193</v>
      </c>
      <c r="CD97" s="18" t="s">
        <v>5127</v>
      </c>
      <c r="CE97" s="18" t="s">
        <v>111</v>
      </c>
      <c r="CF97" s="18" t="s">
        <v>5135</v>
      </c>
      <c r="CG97" s="18" t="s">
        <v>5693</v>
      </c>
      <c r="CH97" s="18" t="s">
        <v>111</v>
      </c>
      <c r="CI97" s="18" t="s">
        <v>5138</v>
      </c>
      <c r="CJ97" s="18" t="s">
        <v>5139</v>
      </c>
      <c r="CK97" s="18" t="s">
        <v>5256</v>
      </c>
      <c r="CL97" s="18">
        <v>1</v>
      </c>
      <c r="CM97" s="18">
        <v>0</v>
      </c>
      <c r="CN97" s="18">
        <v>0</v>
      </c>
      <c r="CO97" s="18">
        <v>1</v>
      </c>
      <c r="CP97" s="18">
        <v>0</v>
      </c>
      <c r="CQ97" s="18">
        <v>0</v>
      </c>
      <c r="CR97" s="18">
        <v>0</v>
      </c>
      <c r="CS97" s="18">
        <v>0</v>
      </c>
      <c r="CT97" s="18">
        <v>0</v>
      </c>
      <c r="CU97" s="18">
        <v>0</v>
      </c>
      <c r="CV97" s="18">
        <v>1</v>
      </c>
      <c r="CX97" s="18">
        <v>0</v>
      </c>
      <c r="CY97" s="18">
        <v>1</v>
      </c>
      <c r="CZ97" s="18">
        <v>0</v>
      </c>
      <c r="DA97" s="18">
        <v>1</v>
      </c>
      <c r="DB97" s="18">
        <v>0</v>
      </c>
      <c r="DC97" s="18">
        <v>1</v>
      </c>
      <c r="DD97" s="18">
        <v>1</v>
      </c>
      <c r="DE97" s="18">
        <v>1</v>
      </c>
      <c r="DF97" s="18">
        <v>1</v>
      </c>
      <c r="DG97" s="18">
        <v>1</v>
      </c>
      <c r="DH97" s="18">
        <v>1</v>
      </c>
      <c r="DI97" s="18">
        <v>1</v>
      </c>
      <c r="DK97" s="18">
        <v>0</v>
      </c>
      <c r="DL97" s="18">
        <v>1</v>
      </c>
      <c r="DM97" s="18" t="s">
        <v>5127</v>
      </c>
      <c r="DN97" s="18" t="s">
        <v>5172</v>
      </c>
      <c r="DO97" s="18" t="s">
        <v>5694</v>
      </c>
      <c r="DP97" s="18" t="s">
        <v>113</v>
      </c>
      <c r="DS97" s="18">
        <v>0</v>
      </c>
      <c r="DT97" s="18">
        <v>0</v>
      </c>
      <c r="DU97" s="18">
        <v>1</v>
      </c>
      <c r="DV97" s="18" t="s">
        <v>5144</v>
      </c>
      <c r="DX97" s="18" t="s">
        <v>5222</v>
      </c>
      <c r="DY97" s="18" t="s">
        <v>106</v>
      </c>
      <c r="DZ97" s="18" t="s">
        <v>113</v>
      </c>
      <c r="EA97" s="18" t="s">
        <v>5146</v>
      </c>
      <c r="EB97" s="18">
        <v>119500</v>
      </c>
      <c r="EC97" s="18" t="s">
        <v>106</v>
      </c>
      <c r="ED97" s="18" t="s">
        <v>5176</v>
      </c>
      <c r="EE97" s="18" t="s">
        <v>113</v>
      </c>
      <c r="EF97" s="18" t="s">
        <v>113</v>
      </c>
      <c r="EG97" s="18" t="s">
        <v>5386</v>
      </c>
      <c r="EH97" s="18" t="s">
        <v>5149</v>
      </c>
      <c r="EI97" s="18" t="s">
        <v>5150</v>
      </c>
      <c r="EJ97" s="18" t="s">
        <v>5343</v>
      </c>
      <c r="EN97" s="18" t="s">
        <v>113</v>
      </c>
      <c r="EO97" s="18" t="s">
        <v>113</v>
      </c>
      <c r="EX97" s="18" t="s">
        <v>5158</v>
      </c>
      <c r="EY97" s="18" t="s">
        <v>5229</v>
      </c>
      <c r="EZ97" s="18" t="s">
        <v>5160</v>
      </c>
      <c r="FA97" s="18" t="s">
        <v>144</v>
      </c>
      <c r="FB97" s="18" t="s">
        <v>5161</v>
      </c>
    </row>
    <row r="98" spans="1:158" ht="10.5" customHeight="1" x14ac:dyDescent="0.2">
      <c r="A98" s="16">
        <v>41</v>
      </c>
      <c r="B98" s="16" t="s">
        <v>1312</v>
      </c>
      <c r="C98" s="16" t="s">
        <v>1311</v>
      </c>
      <c r="D98" s="16">
        <v>240720</v>
      </c>
      <c r="E98" s="16" t="s">
        <v>6659</v>
      </c>
      <c r="H98" s="15" t="s">
        <v>6661</v>
      </c>
      <c r="AT98" s="17">
        <f>(365*D98*0.7)/1000</f>
        <v>61503.959999999992</v>
      </c>
      <c r="AU98" s="17">
        <f t="shared" si="2"/>
        <v>0</v>
      </c>
      <c r="BW98" s="15">
        <f t="shared" si="3"/>
        <v>0</v>
      </c>
    </row>
    <row r="99" spans="1:158" ht="10.5" customHeight="1" x14ac:dyDescent="0.2">
      <c r="A99" s="16">
        <v>41</v>
      </c>
      <c r="B99" s="16" t="s">
        <v>1328</v>
      </c>
      <c r="C99" s="16" t="s">
        <v>1327</v>
      </c>
      <c r="D99" s="16">
        <v>23278</v>
      </c>
      <c r="E99" s="16" t="s">
        <v>6658</v>
      </c>
      <c r="F99" s="18" t="s">
        <v>1327</v>
      </c>
      <c r="G99" s="18" t="s">
        <v>106</v>
      </c>
      <c r="H99" s="15" t="s">
        <v>5127</v>
      </c>
      <c r="I99" s="18">
        <v>29</v>
      </c>
      <c r="J99" s="18">
        <v>17</v>
      </c>
      <c r="K99" s="18">
        <v>10</v>
      </c>
      <c r="L99" s="18">
        <v>2</v>
      </c>
      <c r="M99" s="18" t="s">
        <v>5183</v>
      </c>
      <c r="N99" s="18" t="s">
        <v>5695</v>
      </c>
      <c r="O99" s="18">
        <v>47063</v>
      </c>
      <c r="T99" s="18" t="s">
        <v>5501</v>
      </c>
      <c r="U99" s="18" t="s">
        <v>5250</v>
      </c>
      <c r="V99" s="18" t="s">
        <v>106</v>
      </c>
      <c r="W99" s="18" t="s">
        <v>5124</v>
      </c>
      <c r="Y99" s="18" t="s">
        <v>5162</v>
      </c>
      <c r="Z99" s="18" t="s">
        <v>106</v>
      </c>
      <c r="AA99" s="18" t="s">
        <v>5267</v>
      </c>
      <c r="AB99" s="18" t="s">
        <v>179</v>
      </c>
      <c r="AC99" s="18" t="s">
        <v>5127</v>
      </c>
      <c r="AD99" s="18" t="s">
        <v>5127</v>
      </c>
      <c r="AE99" s="18" t="s">
        <v>5127</v>
      </c>
      <c r="AF99" s="18" t="s">
        <v>5127</v>
      </c>
      <c r="AG99" s="18" t="s">
        <v>5127</v>
      </c>
      <c r="AH99" s="18" t="s">
        <v>5127</v>
      </c>
      <c r="AI99" s="18">
        <v>4</v>
      </c>
      <c r="AK99" s="18" t="s">
        <v>5509</v>
      </c>
      <c r="AN99" s="18">
        <v>624</v>
      </c>
      <c r="AO99" s="18" t="s">
        <v>5186</v>
      </c>
      <c r="AP99" s="18" t="s">
        <v>5696</v>
      </c>
      <c r="AQ99" s="18" t="s">
        <v>5697</v>
      </c>
      <c r="AR99" s="18" t="s">
        <v>5464</v>
      </c>
      <c r="AT99" s="17">
        <f>(365*D99*0.7)/1000</f>
        <v>5947.5290000000005</v>
      </c>
      <c r="AU99" s="17">
        <f t="shared" si="2"/>
        <v>42</v>
      </c>
      <c r="AV99" s="18">
        <v>42</v>
      </c>
      <c r="AW99" s="18">
        <v>0</v>
      </c>
      <c r="AY99" s="18" t="s">
        <v>5334</v>
      </c>
      <c r="BD99" s="18">
        <f>3970/1000</f>
        <v>3.97</v>
      </c>
      <c r="BG99" s="18" t="s">
        <v>5375</v>
      </c>
      <c r="BQ99" s="18">
        <v>330</v>
      </c>
      <c r="BR99" s="18">
        <v>110</v>
      </c>
      <c r="BS99" s="18">
        <v>58</v>
      </c>
      <c r="BT99" s="18">
        <v>80</v>
      </c>
      <c r="BU99" s="18">
        <v>0</v>
      </c>
      <c r="BV99" s="18">
        <f>SUM(BQ99:BU99)</f>
        <v>578</v>
      </c>
      <c r="BW99" s="15">
        <f t="shared" si="3"/>
        <v>578</v>
      </c>
      <c r="BY99" s="18" t="s">
        <v>5134</v>
      </c>
      <c r="BZ99" s="18" t="s">
        <v>5698</v>
      </c>
      <c r="CD99" s="18" t="s">
        <v>5127</v>
      </c>
      <c r="CE99" s="18" t="s">
        <v>5127</v>
      </c>
      <c r="CF99" s="18" t="s">
        <v>5135</v>
      </c>
      <c r="CG99" s="18" t="s">
        <v>5570</v>
      </c>
      <c r="CH99" s="18" t="s">
        <v>5699</v>
      </c>
      <c r="CI99" s="18" t="s">
        <v>5195</v>
      </c>
      <c r="CJ99" s="18" t="s">
        <v>5636</v>
      </c>
      <c r="CK99" s="18" t="s">
        <v>5336</v>
      </c>
      <c r="CL99" s="18">
        <v>3</v>
      </c>
      <c r="CM99" s="18">
        <v>3</v>
      </c>
      <c r="CN99" s="18">
        <v>1</v>
      </c>
      <c r="CO99" s="18">
        <v>3</v>
      </c>
      <c r="CP99" s="18">
        <v>4</v>
      </c>
      <c r="CQ99" s="18">
        <v>3</v>
      </c>
      <c r="CR99" s="18">
        <v>0</v>
      </c>
      <c r="CS99" s="18" t="s">
        <v>5141</v>
      </c>
      <c r="CT99" s="18">
        <v>1</v>
      </c>
      <c r="CU99" s="18">
        <v>0</v>
      </c>
      <c r="CV99" s="18" t="s">
        <v>5141</v>
      </c>
      <c r="CX99" s="18">
        <v>0</v>
      </c>
      <c r="CY99" s="18">
        <v>0</v>
      </c>
      <c r="CZ99" s="18">
        <v>0</v>
      </c>
      <c r="DA99" s="18">
        <v>1</v>
      </c>
      <c r="DB99" s="18">
        <v>1</v>
      </c>
      <c r="DC99" s="18">
        <v>0</v>
      </c>
      <c r="DD99" s="18">
        <v>0</v>
      </c>
      <c r="DE99" s="18">
        <v>0</v>
      </c>
      <c r="DF99" s="18" t="s">
        <v>5141</v>
      </c>
      <c r="DG99" s="18">
        <v>0</v>
      </c>
      <c r="DH99" s="18">
        <v>0</v>
      </c>
      <c r="DI99" s="18" t="s">
        <v>5141</v>
      </c>
      <c r="DK99" s="18">
        <v>0</v>
      </c>
      <c r="DL99" s="18">
        <v>1</v>
      </c>
      <c r="DM99" s="18" t="s">
        <v>5127</v>
      </c>
      <c r="DN99" s="18" t="s">
        <v>5299</v>
      </c>
      <c r="DO99" s="18" t="s">
        <v>5700</v>
      </c>
      <c r="DP99" s="18" t="s">
        <v>113</v>
      </c>
      <c r="DQ99" s="18" t="s">
        <v>5132</v>
      </c>
      <c r="DS99" s="18">
        <v>0</v>
      </c>
      <c r="DT99" s="18">
        <v>1</v>
      </c>
      <c r="DU99" s="18">
        <v>1</v>
      </c>
      <c r="DV99" s="18" t="s">
        <v>5260</v>
      </c>
      <c r="DX99" s="18" t="s">
        <v>5201</v>
      </c>
      <c r="DY99" s="18" t="s">
        <v>113</v>
      </c>
      <c r="DZ99" s="18" t="s">
        <v>113</v>
      </c>
      <c r="EA99" s="18" t="s">
        <v>5453</v>
      </c>
      <c r="EB99" s="18">
        <v>629</v>
      </c>
      <c r="EC99" s="18" t="s">
        <v>106</v>
      </c>
      <c r="ED99" s="18" t="s">
        <v>5176</v>
      </c>
      <c r="EE99" s="18" t="s">
        <v>106</v>
      </c>
      <c r="EF99" s="18" t="s">
        <v>113</v>
      </c>
      <c r="EG99" s="18" t="s">
        <v>5148</v>
      </c>
      <c r="EH99" s="18" t="s">
        <v>5203</v>
      </c>
      <c r="EI99" s="18" t="s">
        <v>5204</v>
      </c>
      <c r="EJ99" s="18" t="s">
        <v>5245</v>
      </c>
      <c r="EK99" s="18" t="s">
        <v>113</v>
      </c>
      <c r="EL99" s="18" t="s">
        <v>5701</v>
      </c>
      <c r="EM99" s="18" t="s">
        <v>5514</v>
      </c>
      <c r="EN99" s="18" t="s">
        <v>113</v>
      </c>
      <c r="EO99" s="18" t="s">
        <v>113</v>
      </c>
      <c r="EP99" s="18" t="s">
        <v>113</v>
      </c>
      <c r="EQ99" s="18" t="s">
        <v>113</v>
      </c>
      <c r="ER99" s="18" t="s">
        <v>5206</v>
      </c>
      <c r="ES99" s="18" t="s">
        <v>5153</v>
      </c>
      <c r="ET99" s="18" t="s">
        <v>5154</v>
      </c>
      <c r="EU99" s="18" t="s">
        <v>5155</v>
      </c>
      <c r="EV99" s="18" t="s">
        <v>5372</v>
      </c>
      <c r="EW99" s="18" t="s">
        <v>5702</v>
      </c>
      <c r="EX99" s="18" t="s">
        <v>5158</v>
      </c>
      <c r="EY99" s="18" t="s">
        <v>5522</v>
      </c>
      <c r="EZ99" s="18" t="s">
        <v>5160</v>
      </c>
      <c r="FA99" s="18" t="s">
        <v>144</v>
      </c>
      <c r="FB99" s="18" t="s">
        <v>5161</v>
      </c>
    </row>
    <row r="100" spans="1:158" ht="10.5" customHeight="1" x14ac:dyDescent="0.2">
      <c r="A100" s="16">
        <v>41</v>
      </c>
      <c r="B100" s="16" t="s">
        <v>2503</v>
      </c>
      <c r="C100" s="16" t="s">
        <v>2504</v>
      </c>
      <c r="D100" s="16">
        <v>8442</v>
      </c>
      <c r="E100" s="16" t="s">
        <v>6656</v>
      </c>
      <c r="H100" s="15" t="s">
        <v>6661</v>
      </c>
      <c r="AT100" s="17">
        <f>(365*D100*0.7)/1000</f>
        <v>2156.931</v>
      </c>
      <c r="AU100" s="17">
        <f t="shared" si="2"/>
        <v>0</v>
      </c>
      <c r="BW100" s="15">
        <f t="shared" si="3"/>
        <v>0</v>
      </c>
    </row>
    <row r="101" spans="1:158" ht="10.5" customHeight="1" x14ac:dyDescent="0.2">
      <c r="A101" s="16">
        <v>41</v>
      </c>
      <c r="B101" s="16" t="s">
        <v>888</v>
      </c>
      <c r="C101" s="16" t="s">
        <v>889</v>
      </c>
      <c r="D101" s="16">
        <v>3486</v>
      </c>
      <c r="E101" s="16" t="s">
        <v>6656</v>
      </c>
      <c r="H101" s="15" t="s">
        <v>6661</v>
      </c>
      <c r="AT101" s="17">
        <f>(365*D101*0.7)/1000</f>
        <v>890.673</v>
      </c>
      <c r="AU101" s="17">
        <f t="shared" si="2"/>
        <v>0</v>
      </c>
      <c r="BW101" s="15">
        <f t="shared" si="3"/>
        <v>0</v>
      </c>
    </row>
    <row r="102" spans="1:158" ht="10.5" customHeight="1" x14ac:dyDescent="0.2">
      <c r="A102" s="16">
        <v>41</v>
      </c>
      <c r="B102" s="16" t="s">
        <v>1347</v>
      </c>
      <c r="C102" s="16" t="s">
        <v>1346</v>
      </c>
      <c r="D102" s="16">
        <v>19827</v>
      </c>
      <c r="E102" s="16" t="s">
        <v>6658</v>
      </c>
      <c r="F102" s="18" t="s">
        <v>1346</v>
      </c>
      <c r="G102" s="18" t="s">
        <v>106</v>
      </c>
      <c r="H102" s="15" t="s">
        <v>5127</v>
      </c>
      <c r="I102" s="18">
        <v>10</v>
      </c>
      <c r="J102" s="18">
        <v>10</v>
      </c>
      <c r="K102" s="18">
        <v>0</v>
      </c>
      <c r="L102" s="18">
        <v>0</v>
      </c>
      <c r="M102" s="18" t="s">
        <v>5183</v>
      </c>
      <c r="N102" s="18" t="s">
        <v>5703</v>
      </c>
      <c r="O102" s="18">
        <v>46451</v>
      </c>
      <c r="T102" s="18" t="s">
        <v>5122</v>
      </c>
      <c r="U102" s="18" t="s">
        <v>5185</v>
      </c>
      <c r="V102" s="18" t="s">
        <v>106</v>
      </c>
      <c r="W102" s="18" t="s">
        <v>5124</v>
      </c>
      <c r="Y102" s="18" t="s">
        <v>5232</v>
      </c>
      <c r="Z102" s="18" t="s">
        <v>106</v>
      </c>
      <c r="AA102" s="18" t="s">
        <v>5267</v>
      </c>
      <c r="AC102" s="18" t="s">
        <v>5127</v>
      </c>
      <c r="AD102" s="18" t="s">
        <v>111</v>
      </c>
      <c r="AE102" s="18" t="s">
        <v>5127</v>
      </c>
      <c r="AF102" s="18" t="s">
        <v>111</v>
      </c>
      <c r="AG102" s="18" t="s">
        <v>5127</v>
      </c>
      <c r="AH102" s="18" t="s">
        <v>5127</v>
      </c>
      <c r="AI102" s="18">
        <v>1</v>
      </c>
      <c r="AK102" s="18" t="s">
        <v>5164</v>
      </c>
      <c r="AN102" s="18">
        <v>581</v>
      </c>
      <c r="AO102" s="18" t="s">
        <v>5165</v>
      </c>
      <c r="AP102" s="18" t="s">
        <v>5339</v>
      </c>
      <c r="AQ102" s="18" t="s">
        <v>5704</v>
      </c>
      <c r="AR102" s="18" t="s">
        <v>5168</v>
      </c>
      <c r="AT102" s="17">
        <f>(365*D102*0.7)/1000</f>
        <v>5065.7984999999999</v>
      </c>
      <c r="AU102" s="17">
        <f t="shared" si="2"/>
        <v>189</v>
      </c>
      <c r="AV102" s="18">
        <v>0</v>
      </c>
      <c r="AW102" s="18">
        <v>189</v>
      </c>
      <c r="AY102" s="18" t="s">
        <v>5334</v>
      </c>
      <c r="AZ102" s="18">
        <f>500/1000</f>
        <v>0.5</v>
      </c>
      <c r="BA102" s="18">
        <v>0</v>
      </c>
      <c r="BB102" s="18">
        <v>2000</v>
      </c>
      <c r="BD102" s="18">
        <f>2400/1000</f>
        <v>2.4</v>
      </c>
      <c r="BG102" s="18" t="s">
        <v>5238</v>
      </c>
      <c r="BQ102" s="18">
        <v>240</v>
      </c>
      <c r="BR102" s="18">
        <v>120</v>
      </c>
      <c r="BS102" s="18">
        <v>24</v>
      </c>
      <c r="BT102" s="18">
        <v>84</v>
      </c>
      <c r="BU102" s="18">
        <v>1200</v>
      </c>
      <c r="BV102" s="18">
        <f>SUM(BQ102:BU102)</f>
        <v>1668</v>
      </c>
      <c r="BW102" s="15">
        <f t="shared" si="3"/>
        <v>1668</v>
      </c>
      <c r="BY102" s="18" t="s">
        <v>5134</v>
      </c>
      <c r="BZ102" s="18" t="s">
        <v>193</v>
      </c>
      <c r="CD102" s="18" t="s">
        <v>5127</v>
      </c>
      <c r="CE102" s="18" t="s">
        <v>111</v>
      </c>
      <c r="CF102" s="18" t="s">
        <v>5135</v>
      </c>
      <c r="CG102" s="18" t="s">
        <v>5193</v>
      </c>
      <c r="CH102" s="18" t="s">
        <v>5504</v>
      </c>
      <c r="CI102" s="18" t="s">
        <v>5195</v>
      </c>
      <c r="CJ102" s="18" t="s">
        <v>5196</v>
      </c>
      <c r="CK102" s="18" t="s">
        <v>5197</v>
      </c>
      <c r="CL102" s="18">
        <v>1</v>
      </c>
      <c r="CM102" s="18">
        <v>0</v>
      </c>
      <c r="CN102" s="18">
        <v>0</v>
      </c>
      <c r="CO102" s="18">
        <v>1</v>
      </c>
      <c r="CP102" s="18">
        <v>0</v>
      </c>
      <c r="CQ102" s="18">
        <v>1</v>
      </c>
      <c r="CR102" s="18" t="s">
        <v>5141</v>
      </c>
      <c r="CS102" s="18" t="s">
        <v>5141</v>
      </c>
      <c r="CT102" s="18">
        <v>0</v>
      </c>
      <c r="CU102" s="18">
        <v>1</v>
      </c>
      <c r="CV102" s="18">
        <v>0</v>
      </c>
      <c r="CX102" s="18">
        <v>1</v>
      </c>
      <c r="CY102" s="18">
        <v>1</v>
      </c>
      <c r="CZ102" s="18">
        <v>1</v>
      </c>
      <c r="DA102" s="18">
        <v>1</v>
      </c>
      <c r="DB102" s="18">
        <v>1</v>
      </c>
      <c r="DC102" s="18">
        <v>1</v>
      </c>
      <c r="DD102" s="18">
        <v>1</v>
      </c>
      <c r="DE102" s="18" t="s">
        <v>5141</v>
      </c>
      <c r="DF102" s="18" t="s">
        <v>5141</v>
      </c>
      <c r="DG102" s="18">
        <v>1</v>
      </c>
      <c r="DH102" s="18">
        <v>1</v>
      </c>
      <c r="DI102" s="18">
        <v>2</v>
      </c>
      <c r="DK102" s="18">
        <v>0</v>
      </c>
      <c r="DL102" s="18">
        <v>1</v>
      </c>
      <c r="DM102" s="18" t="s">
        <v>5127</v>
      </c>
      <c r="DN102" s="18" t="s">
        <v>5258</v>
      </c>
      <c r="DO102" s="18" t="s">
        <v>5705</v>
      </c>
      <c r="DP102" s="18" t="s">
        <v>113</v>
      </c>
      <c r="DQ102" s="18" t="s">
        <v>5706</v>
      </c>
      <c r="DS102" s="18">
        <v>0</v>
      </c>
      <c r="DT102" s="18">
        <v>1</v>
      </c>
      <c r="DU102" s="18">
        <v>1</v>
      </c>
      <c r="DV102" s="18" t="s">
        <v>5260</v>
      </c>
      <c r="DX102" s="18" t="s">
        <v>5222</v>
      </c>
      <c r="DY102" s="18" t="s">
        <v>113</v>
      </c>
      <c r="DZ102" s="18" t="s">
        <v>113</v>
      </c>
      <c r="EA102" s="18" t="s">
        <v>5146</v>
      </c>
      <c r="EB102" s="18">
        <v>392</v>
      </c>
      <c r="EC102" s="18" t="s">
        <v>106</v>
      </c>
      <c r="ED102" s="18" t="s">
        <v>5176</v>
      </c>
      <c r="EE102" s="18" t="s">
        <v>106</v>
      </c>
      <c r="EF102" s="18" t="s">
        <v>106</v>
      </c>
      <c r="EG102" s="18" t="s">
        <v>5148</v>
      </c>
      <c r="EH102" s="18" t="s">
        <v>5203</v>
      </c>
      <c r="EI102" s="18" t="s">
        <v>5303</v>
      </c>
      <c r="EJ102" s="18" t="s">
        <v>5387</v>
      </c>
      <c r="EK102" s="18" t="s">
        <v>113</v>
      </c>
      <c r="EM102" s="18" t="s">
        <v>5707</v>
      </c>
      <c r="EN102" s="18" t="s">
        <v>113</v>
      </c>
      <c r="EO102" s="18" t="s">
        <v>113</v>
      </c>
      <c r="EP102" s="18" t="s">
        <v>113</v>
      </c>
      <c r="EQ102" s="18" t="s">
        <v>113</v>
      </c>
      <c r="ER102" s="18" t="s">
        <v>5206</v>
      </c>
      <c r="ES102" s="18" t="s">
        <v>5153</v>
      </c>
      <c r="ET102" s="18" t="s">
        <v>5154</v>
      </c>
      <c r="EU102" s="18" t="s">
        <v>5318</v>
      </c>
      <c r="EV102" s="18" t="s">
        <v>5708</v>
      </c>
      <c r="EW102" s="18" t="s">
        <v>5431</v>
      </c>
      <c r="EX102" s="18" t="s">
        <v>5158</v>
      </c>
      <c r="EY102" s="18" t="s">
        <v>5181</v>
      </c>
      <c r="EZ102" s="18" t="s">
        <v>5182</v>
      </c>
      <c r="FA102" s="18" t="s">
        <v>144</v>
      </c>
      <c r="FB102" s="18" t="s">
        <v>5161</v>
      </c>
    </row>
    <row r="103" spans="1:158" ht="10.5" customHeight="1" x14ac:dyDescent="0.2">
      <c r="A103" s="16">
        <v>41</v>
      </c>
      <c r="B103" s="16" t="s">
        <v>1361</v>
      </c>
      <c r="C103" s="16" t="s">
        <v>1360</v>
      </c>
      <c r="D103" s="16">
        <v>17862</v>
      </c>
      <c r="E103" s="16" t="s">
        <v>6658</v>
      </c>
      <c r="F103" s="18" t="s">
        <v>1360</v>
      </c>
      <c r="G103" s="18" t="s">
        <v>106</v>
      </c>
      <c r="H103" s="15" t="s">
        <v>5127</v>
      </c>
      <c r="I103" s="18">
        <v>43</v>
      </c>
      <c r="J103" s="18">
        <v>27</v>
      </c>
      <c r="K103" s="18">
        <v>16</v>
      </c>
      <c r="M103" s="18" t="s">
        <v>5230</v>
      </c>
      <c r="N103" s="18" t="s">
        <v>5709</v>
      </c>
      <c r="T103" s="18" t="s">
        <v>111</v>
      </c>
      <c r="U103" s="18" t="s">
        <v>5250</v>
      </c>
      <c r="V103" s="18" t="s">
        <v>106</v>
      </c>
      <c r="W103" s="18" t="s">
        <v>5124</v>
      </c>
      <c r="Y103" s="18" t="s">
        <v>5232</v>
      </c>
      <c r="Z103" s="18" t="s">
        <v>106</v>
      </c>
      <c r="AA103" s="18" t="s">
        <v>5163</v>
      </c>
      <c r="AB103" s="18" t="s">
        <v>179</v>
      </c>
      <c r="AC103" s="18" t="s">
        <v>5127</v>
      </c>
      <c r="AD103" s="18" t="s">
        <v>5127</v>
      </c>
      <c r="AE103" s="18" t="s">
        <v>5127</v>
      </c>
      <c r="AF103" s="18" t="s">
        <v>5127</v>
      </c>
      <c r="AG103" s="18" t="s">
        <v>5127</v>
      </c>
      <c r="AH103" s="18" t="s">
        <v>5127</v>
      </c>
      <c r="AI103" s="18">
        <v>1</v>
      </c>
      <c r="AK103" s="18" t="s">
        <v>5164</v>
      </c>
      <c r="AN103" s="18">
        <v>930</v>
      </c>
      <c r="AO103" s="18" t="s">
        <v>5186</v>
      </c>
      <c r="AP103" s="18" t="s">
        <v>5710</v>
      </c>
      <c r="AQ103" s="18" t="s">
        <v>5711</v>
      </c>
      <c r="AR103" s="18" t="s">
        <v>5132</v>
      </c>
      <c r="AT103" s="17">
        <f>(365*D103*0.7)/1000</f>
        <v>4563.741</v>
      </c>
      <c r="AU103" s="17">
        <f t="shared" si="2"/>
        <v>200</v>
      </c>
      <c r="AV103" s="18">
        <v>200</v>
      </c>
      <c r="AW103" s="18">
        <v>0</v>
      </c>
      <c r="AY103" s="18" t="s">
        <v>5334</v>
      </c>
      <c r="BG103" s="18" t="s">
        <v>5190</v>
      </c>
      <c r="BQ103" s="18">
        <v>436</v>
      </c>
      <c r="BR103" s="18">
        <v>260</v>
      </c>
      <c r="BS103" s="18">
        <v>96</v>
      </c>
      <c r="BT103" s="18">
        <v>138</v>
      </c>
      <c r="BU103" s="18">
        <v>0</v>
      </c>
      <c r="BV103" s="18">
        <v>930</v>
      </c>
      <c r="BW103" s="15">
        <f t="shared" si="3"/>
        <v>930</v>
      </c>
      <c r="BY103" s="18" t="s">
        <v>5134</v>
      </c>
      <c r="BZ103" s="18" t="s">
        <v>5712</v>
      </c>
      <c r="CD103" s="18" t="s">
        <v>5127</v>
      </c>
      <c r="CE103" s="18" t="s">
        <v>111</v>
      </c>
      <c r="CF103" s="18" t="s">
        <v>5135</v>
      </c>
      <c r="CG103" s="18" t="s">
        <v>5298</v>
      </c>
      <c r="CH103" s="18" t="s">
        <v>5241</v>
      </c>
      <c r="CI103" s="18" t="s">
        <v>5195</v>
      </c>
      <c r="CJ103" s="18" t="s">
        <v>5196</v>
      </c>
      <c r="CK103" s="18" t="s">
        <v>5197</v>
      </c>
      <c r="CL103" s="18">
        <v>2</v>
      </c>
      <c r="CM103" s="18">
        <v>0</v>
      </c>
      <c r="CN103" s="18">
        <v>1</v>
      </c>
      <c r="CO103" s="18">
        <v>1</v>
      </c>
      <c r="CP103" s="18">
        <v>0</v>
      </c>
      <c r="CQ103" s="18">
        <v>1</v>
      </c>
      <c r="CR103" s="18">
        <v>0</v>
      </c>
      <c r="CS103" s="18" t="s">
        <v>5141</v>
      </c>
      <c r="CT103" s="18">
        <v>1</v>
      </c>
      <c r="CU103" s="18">
        <v>0</v>
      </c>
      <c r="CV103" s="18" t="s">
        <v>5141</v>
      </c>
      <c r="CX103" s="18">
        <v>1</v>
      </c>
      <c r="CY103" s="18">
        <v>1</v>
      </c>
      <c r="CZ103" s="18">
        <v>0</v>
      </c>
      <c r="DA103" s="18">
        <v>0</v>
      </c>
      <c r="DB103" s="18">
        <v>1</v>
      </c>
      <c r="DC103" s="18">
        <v>0</v>
      </c>
      <c r="DD103" s="18">
        <v>0</v>
      </c>
      <c r="DE103" s="18">
        <v>0</v>
      </c>
      <c r="DF103" s="18">
        <v>0</v>
      </c>
      <c r="DG103" s="18">
        <v>0</v>
      </c>
      <c r="DH103" s="18">
        <v>0</v>
      </c>
      <c r="DI103" s="18">
        <v>0</v>
      </c>
      <c r="DK103" s="18">
        <v>0</v>
      </c>
      <c r="DL103" s="18">
        <v>0</v>
      </c>
      <c r="DM103" s="18" t="s">
        <v>5127</v>
      </c>
      <c r="DN103" s="18" t="s">
        <v>5172</v>
      </c>
      <c r="DO103" s="18" t="s">
        <v>5665</v>
      </c>
      <c r="DP103" s="18" t="s">
        <v>113</v>
      </c>
      <c r="DS103" s="18">
        <v>0</v>
      </c>
      <c r="DT103" s="18">
        <v>1</v>
      </c>
      <c r="DU103" s="18">
        <v>0</v>
      </c>
      <c r="DV103" s="18" t="s">
        <v>5260</v>
      </c>
      <c r="DX103" s="18" t="s">
        <v>5201</v>
      </c>
      <c r="DY103" s="18" t="s">
        <v>106</v>
      </c>
      <c r="DZ103" s="18" t="s">
        <v>113</v>
      </c>
      <c r="EA103" s="18" t="s">
        <v>5146</v>
      </c>
      <c r="EB103" s="18">
        <v>650</v>
      </c>
      <c r="EC103" s="18" t="s">
        <v>113</v>
      </c>
      <c r="ED103" s="18" t="s">
        <v>5176</v>
      </c>
      <c r="EH103" s="18" t="s">
        <v>5203</v>
      </c>
      <c r="EI103" s="18" t="s">
        <v>5204</v>
      </c>
      <c r="EN103" s="18" t="s">
        <v>113</v>
      </c>
      <c r="ER103" s="18" t="s">
        <v>5206</v>
      </c>
      <c r="ET103" s="18" t="s">
        <v>5154</v>
      </c>
      <c r="EX103" s="18" t="s">
        <v>5158</v>
      </c>
      <c r="EY103" s="18" t="s">
        <v>5181</v>
      </c>
      <c r="FA103" s="18" t="s">
        <v>144</v>
      </c>
      <c r="FB103" s="18" t="s">
        <v>5161</v>
      </c>
    </row>
    <row r="104" spans="1:158" ht="10.5" customHeight="1" x14ac:dyDescent="0.2">
      <c r="A104" s="16">
        <v>41</v>
      </c>
      <c r="B104" s="16" t="s">
        <v>4460</v>
      </c>
      <c r="C104" s="16" t="s">
        <v>4461</v>
      </c>
      <c r="D104" s="16">
        <v>45830</v>
      </c>
      <c r="E104" s="16" t="s">
        <v>6658</v>
      </c>
      <c r="H104" s="15" t="s">
        <v>6661</v>
      </c>
      <c r="AT104" s="17">
        <f>(365*D104*0.7)/1000</f>
        <v>11709.565000000001</v>
      </c>
      <c r="AU104" s="17">
        <f t="shared" si="2"/>
        <v>0</v>
      </c>
      <c r="BW104" s="15">
        <f t="shared" si="3"/>
        <v>0</v>
      </c>
    </row>
    <row r="105" spans="1:158" ht="10.5" customHeight="1" x14ac:dyDescent="0.2">
      <c r="A105" s="16">
        <v>41</v>
      </c>
      <c r="B105" s="16" t="s">
        <v>1377</v>
      </c>
      <c r="C105" s="16" t="s">
        <v>1376</v>
      </c>
      <c r="D105" s="16">
        <v>5516</v>
      </c>
      <c r="E105" s="16" t="s">
        <v>6656</v>
      </c>
      <c r="F105" s="18" t="s">
        <v>1376</v>
      </c>
      <c r="G105" s="18" t="s">
        <v>113</v>
      </c>
      <c r="H105" s="15" t="s">
        <v>111</v>
      </c>
      <c r="AT105" s="17">
        <f>(365*D105*0.7)/1000</f>
        <v>1409.338</v>
      </c>
      <c r="AU105" s="17">
        <f t="shared" si="2"/>
        <v>0</v>
      </c>
      <c r="BW105" s="15">
        <f t="shared" si="3"/>
        <v>0</v>
      </c>
    </row>
    <row r="106" spans="1:158" ht="10.5" customHeight="1" x14ac:dyDescent="0.2">
      <c r="A106" s="16">
        <v>41</v>
      </c>
      <c r="B106" s="16" t="s">
        <v>1393</v>
      </c>
      <c r="C106" s="16" t="s">
        <v>1392</v>
      </c>
      <c r="D106" s="16">
        <v>23859</v>
      </c>
      <c r="E106" s="16" t="s">
        <v>6658</v>
      </c>
      <c r="F106" s="18" t="s">
        <v>1392</v>
      </c>
      <c r="G106" s="18" t="s">
        <v>113</v>
      </c>
      <c r="H106" s="15" t="s">
        <v>111</v>
      </c>
      <c r="AT106" s="17">
        <f>(365*D106*0.7)/1000</f>
        <v>6095.9745000000003</v>
      </c>
      <c r="AU106" s="17">
        <f t="shared" si="2"/>
        <v>0</v>
      </c>
      <c r="BW106" s="15">
        <f t="shared" si="3"/>
        <v>0</v>
      </c>
    </row>
    <row r="107" spans="1:158" ht="10.5" customHeight="1" x14ac:dyDescent="0.2">
      <c r="A107" s="16">
        <v>41</v>
      </c>
      <c r="B107" s="16" t="s">
        <v>991</v>
      </c>
      <c r="C107" s="16" t="s">
        <v>992</v>
      </c>
      <c r="D107" s="16">
        <v>3780</v>
      </c>
      <c r="E107" s="16" t="s">
        <v>6656</v>
      </c>
      <c r="H107" s="15" t="s">
        <v>6661</v>
      </c>
      <c r="AT107" s="17">
        <f>(365*D107*0.7)/1000</f>
        <v>965.78999999999985</v>
      </c>
      <c r="AU107" s="17">
        <f t="shared" si="2"/>
        <v>0</v>
      </c>
      <c r="BW107" s="15">
        <f t="shared" si="3"/>
        <v>0</v>
      </c>
    </row>
    <row r="108" spans="1:158" ht="10.5" customHeight="1" x14ac:dyDescent="0.2">
      <c r="A108" s="16">
        <v>41</v>
      </c>
      <c r="B108" s="16" t="s">
        <v>1411</v>
      </c>
      <c r="C108" s="16" t="s">
        <v>1410</v>
      </c>
      <c r="D108" s="16">
        <v>15910</v>
      </c>
      <c r="E108" s="16" t="s">
        <v>6658</v>
      </c>
      <c r="F108" s="18" t="s">
        <v>1410</v>
      </c>
      <c r="G108" s="18" t="s">
        <v>113</v>
      </c>
      <c r="H108" s="15" t="s">
        <v>111</v>
      </c>
      <c r="AT108" s="17">
        <f>(365*D108*0.7)/1000</f>
        <v>4065.0049999999997</v>
      </c>
      <c r="AU108" s="17">
        <f t="shared" si="2"/>
        <v>0</v>
      </c>
      <c r="BW108" s="15">
        <f t="shared" si="3"/>
        <v>0</v>
      </c>
    </row>
    <row r="109" spans="1:158" ht="10.5" customHeight="1" x14ac:dyDescent="0.2">
      <c r="A109" s="16">
        <v>41</v>
      </c>
      <c r="B109" s="16" t="s">
        <v>1425</v>
      </c>
      <c r="C109" s="16" t="s">
        <v>1424</v>
      </c>
      <c r="D109" s="16">
        <v>4171</v>
      </c>
      <c r="E109" s="16" t="s">
        <v>6656</v>
      </c>
      <c r="F109" s="18" t="s">
        <v>1424</v>
      </c>
      <c r="G109" s="18" t="s">
        <v>113</v>
      </c>
      <c r="H109" s="15" t="s">
        <v>111</v>
      </c>
      <c r="AT109" s="17">
        <f>(365*D109*0.7)/1000</f>
        <v>1065.6904999999999</v>
      </c>
      <c r="AU109" s="17">
        <f t="shared" si="2"/>
        <v>0</v>
      </c>
      <c r="BW109" s="15">
        <f t="shared" si="3"/>
        <v>0</v>
      </c>
    </row>
    <row r="110" spans="1:158" ht="10.5" customHeight="1" x14ac:dyDescent="0.2">
      <c r="A110" s="16">
        <v>41</v>
      </c>
      <c r="B110" s="16" t="s">
        <v>1439</v>
      </c>
      <c r="C110" s="16" t="s">
        <v>1438</v>
      </c>
      <c r="D110" s="16">
        <v>24622</v>
      </c>
      <c r="E110" s="16" t="s">
        <v>6658</v>
      </c>
      <c r="F110" s="18" t="s">
        <v>1438</v>
      </c>
      <c r="G110" s="18" t="s">
        <v>106</v>
      </c>
      <c r="H110" s="15" t="s">
        <v>5127</v>
      </c>
      <c r="I110" s="18">
        <v>11</v>
      </c>
      <c r="J110" s="18">
        <v>7</v>
      </c>
      <c r="K110" s="18">
        <v>4</v>
      </c>
      <c r="L110" s="18">
        <v>0</v>
      </c>
      <c r="M110" s="18" t="s">
        <v>5183</v>
      </c>
      <c r="N110" s="18" t="s">
        <v>5713</v>
      </c>
      <c r="O110" s="18">
        <v>46932</v>
      </c>
      <c r="T110" s="18" t="s">
        <v>111</v>
      </c>
      <c r="U110" s="18" t="s">
        <v>5123</v>
      </c>
      <c r="V110" s="18" t="s">
        <v>113</v>
      </c>
      <c r="W110" s="18" t="s">
        <v>5211</v>
      </c>
      <c r="Y110" s="18" t="s">
        <v>5162</v>
      </c>
      <c r="Z110" s="18" t="s">
        <v>106</v>
      </c>
      <c r="AA110" s="18" t="s">
        <v>5163</v>
      </c>
      <c r="AC110" s="18" t="s">
        <v>5127</v>
      </c>
      <c r="AD110" s="18" t="s">
        <v>5127</v>
      </c>
      <c r="AE110" s="18" t="s">
        <v>5127</v>
      </c>
      <c r="AF110" s="18" t="s">
        <v>111</v>
      </c>
      <c r="AG110" s="18" t="s">
        <v>5127</v>
      </c>
      <c r="AH110" s="18" t="s">
        <v>5127</v>
      </c>
      <c r="AI110" s="18">
        <v>1</v>
      </c>
      <c r="AK110" s="18" t="s">
        <v>5164</v>
      </c>
      <c r="AN110" s="18">
        <v>317</v>
      </c>
      <c r="AO110" s="18" t="s">
        <v>5186</v>
      </c>
      <c r="AP110" s="18" t="s">
        <v>5714</v>
      </c>
      <c r="AQ110" s="18" t="s">
        <v>5252</v>
      </c>
      <c r="AR110" s="18" t="s">
        <v>5168</v>
      </c>
      <c r="AT110" s="17">
        <f>(365*D110*0.7)/1000</f>
        <v>6290.9210000000003</v>
      </c>
      <c r="AU110" s="17">
        <f t="shared" si="2"/>
        <v>55</v>
      </c>
      <c r="AV110" s="18">
        <v>55</v>
      </c>
      <c r="AW110" s="18">
        <v>0</v>
      </c>
      <c r="AY110" s="18" t="s">
        <v>164</v>
      </c>
      <c r="BG110" s="18" t="s">
        <v>5169</v>
      </c>
      <c r="BQ110" s="18">
        <v>11</v>
      </c>
      <c r="BR110" s="18">
        <v>5</v>
      </c>
      <c r="BS110" s="18">
        <v>3</v>
      </c>
      <c r="BT110" s="18">
        <v>2</v>
      </c>
      <c r="BU110" s="18">
        <v>0</v>
      </c>
      <c r="BV110" s="18">
        <f>SUM(BQ110:BU110)</f>
        <v>21</v>
      </c>
      <c r="BW110" s="15">
        <f t="shared" si="3"/>
        <v>21</v>
      </c>
      <c r="BY110" s="18" t="s">
        <v>5134</v>
      </c>
      <c r="BZ110" s="18" t="s">
        <v>193</v>
      </c>
      <c r="CD110" s="18" t="s">
        <v>5127</v>
      </c>
      <c r="CE110" s="18" t="s">
        <v>111</v>
      </c>
      <c r="CF110" s="18" t="s">
        <v>5282</v>
      </c>
      <c r="CG110" s="18" t="s">
        <v>5715</v>
      </c>
      <c r="CH110" s="18" t="s">
        <v>5551</v>
      </c>
      <c r="CI110" s="18" t="s">
        <v>5138</v>
      </c>
      <c r="CJ110" s="18" t="s">
        <v>5196</v>
      </c>
      <c r="CK110" s="18" t="s">
        <v>5171</v>
      </c>
      <c r="CL110" s="18">
        <v>1</v>
      </c>
      <c r="CM110" s="18">
        <v>1</v>
      </c>
      <c r="CN110" s="18">
        <v>1</v>
      </c>
      <c r="CO110" s="18">
        <v>1</v>
      </c>
      <c r="CP110" s="18">
        <v>2</v>
      </c>
      <c r="CQ110" s="18">
        <v>1</v>
      </c>
      <c r="CR110" s="18">
        <v>0</v>
      </c>
      <c r="CS110" s="18" t="s">
        <v>5141</v>
      </c>
      <c r="CT110" s="18">
        <v>1</v>
      </c>
      <c r="CU110" s="18">
        <v>1</v>
      </c>
      <c r="CV110" s="18">
        <v>1</v>
      </c>
      <c r="CX110" s="18">
        <v>1</v>
      </c>
      <c r="CY110" s="18">
        <v>1</v>
      </c>
      <c r="CZ110" s="18">
        <v>1</v>
      </c>
      <c r="DA110" s="18">
        <v>1</v>
      </c>
      <c r="DB110" s="18">
        <v>1</v>
      </c>
      <c r="DC110" s="18">
        <v>1</v>
      </c>
      <c r="DD110" s="18">
        <v>1</v>
      </c>
      <c r="DE110" s="18">
        <v>1</v>
      </c>
      <c r="DF110" s="18">
        <v>1</v>
      </c>
      <c r="DG110" s="18">
        <v>1</v>
      </c>
      <c r="DH110" s="18">
        <v>1</v>
      </c>
      <c r="DI110" s="18">
        <v>1</v>
      </c>
      <c r="DK110" s="18">
        <v>0</v>
      </c>
      <c r="DL110" s="18">
        <v>1</v>
      </c>
      <c r="DM110" s="18" t="s">
        <v>5127</v>
      </c>
      <c r="DN110" s="18" t="s">
        <v>5716</v>
      </c>
      <c r="DO110" s="18" t="s">
        <v>5259</v>
      </c>
      <c r="DP110" s="18" t="s">
        <v>113</v>
      </c>
      <c r="DQ110" s="18" t="s">
        <v>179</v>
      </c>
      <c r="DS110" s="18">
        <v>0</v>
      </c>
      <c r="DT110" s="18" t="s">
        <v>5358</v>
      </c>
      <c r="DU110" s="18">
        <v>1</v>
      </c>
      <c r="DV110" s="18" t="s">
        <v>5272</v>
      </c>
      <c r="DX110" s="18" t="s">
        <v>5201</v>
      </c>
      <c r="DY110" s="18" t="s">
        <v>106</v>
      </c>
      <c r="DZ110" s="18" t="s">
        <v>113</v>
      </c>
      <c r="EA110" s="18" t="s">
        <v>5285</v>
      </c>
      <c r="EB110" s="18">
        <v>261</v>
      </c>
      <c r="EC110" s="18" t="s">
        <v>106</v>
      </c>
      <c r="ED110" s="18" t="s">
        <v>5176</v>
      </c>
      <c r="EE110" s="18" t="s">
        <v>113</v>
      </c>
      <c r="EF110" s="18" t="s">
        <v>113</v>
      </c>
      <c r="EG110" s="18" t="s">
        <v>5148</v>
      </c>
      <c r="EH110" s="18" t="s">
        <v>5203</v>
      </c>
      <c r="EI110" s="18" t="s">
        <v>5204</v>
      </c>
      <c r="EJ110" s="18" t="s">
        <v>5422</v>
      </c>
      <c r="EK110" s="18" t="s">
        <v>113</v>
      </c>
      <c r="EN110" s="18" t="s">
        <v>113</v>
      </c>
      <c r="EO110" s="18" t="s">
        <v>113</v>
      </c>
      <c r="EP110" s="18" t="s">
        <v>113</v>
      </c>
      <c r="EQ110" s="18" t="s">
        <v>113</v>
      </c>
      <c r="ER110" s="18" t="s">
        <v>5289</v>
      </c>
      <c r="ES110" s="18" t="s">
        <v>5317</v>
      </c>
      <c r="ET110" s="18" t="s">
        <v>5154</v>
      </c>
      <c r="EW110" s="18" t="s">
        <v>5669</v>
      </c>
      <c r="EX110" s="18" t="s">
        <v>5158</v>
      </c>
      <c r="EY110" s="18" t="s">
        <v>5347</v>
      </c>
      <c r="EZ110" s="18" t="s">
        <v>5182</v>
      </c>
      <c r="FA110" s="18" t="s">
        <v>144</v>
      </c>
      <c r="FB110" s="18" t="s">
        <v>5161</v>
      </c>
    </row>
    <row r="111" spans="1:158" ht="10.5" customHeight="1" x14ac:dyDescent="0.2">
      <c r="A111" s="16">
        <v>41</v>
      </c>
      <c r="B111" s="16" t="s">
        <v>1454</v>
      </c>
      <c r="C111" s="16" t="s">
        <v>1453</v>
      </c>
      <c r="D111" s="16">
        <v>4547</v>
      </c>
      <c r="E111" s="16" t="s">
        <v>6656</v>
      </c>
      <c r="F111" s="18" t="s">
        <v>1453</v>
      </c>
      <c r="G111" s="18" t="s">
        <v>106</v>
      </c>
      <c r="H111" s="15" t="s">
        <v>5127</v>
      </c>
      <c r="I111" s="18">
        <v>5</v>
      </c>
      <c r="J111" s="18">
        <v>1</v>
      </c>
      <c r="K111" s="18">
        <v>4</v>
      </c>
      <c r="M111" s="18" t="s">
        <v>5183</v>
      </c>
      <c r="N111" s="18" t="s">
        <v>5717</v>
      </c>
      <c r="O111" s="18">
        <v>47835</v>
      </c>
      <c r="T111" s="18" t="s">
        <v>111</v>
      </c>
      <c r="U111" s="18" t="s">
        <v>5123</v>
      </c>
      <c r="V111" s="18" t="s">
        <v>106</v>
      </c>
      <c r="W111" s="18" t="s">
        <v>5124</v>
      </c>
      <c r="Y111" s="18" t="s">
        <v>5232</v>
      </c>
      <c r="Z111" s="18" t="s">
        <v>113</v>
      </c>
      <c r="AA111" s="18" t="s">
        <v>5163</v>
      </c>
      <c r="AB111" s="18" t="s">
        <v>179</v>
      </c>
      <c r="AC111" s="18" t="s">
        <v>111</v>
      </c>
      <c r="AD111" s="18" t="s">
        <v>111</v>
      </c>
      <c r="AE111" s="18" t="s">
        <v>5127</v>
      </c>
      <c r="AF111" s="18" t="s">
        <v>5127</v>
      </c>
      <c r="AG111" s="18" t="s">
        <v>5127</v>
      </c>
      <c r="AH111" s="18" t="s">
        <v>5127</v>
      </c>
      <c r="AI111" s="18">
        <v>0</v>
      </c>
      <c r="AK111" s="18" t="s">
        <v>5164</v>
      </c>
      <c r="AN111" s="18">
        <v>264000</v>
      </c>
      <c r="AO111" s="18" t="s">
        <v>5129</v>
      </c>
      <c r="AP111" s="18" t="s">
        <v>5718</v>
      </c>
      <c r="AQ111" s="18" t="s">
        <v>5719</v>
      </c>
      <c r="AR111" s="18" t="s">
        <v>5221</v>
      </c>
      <c r="AT111" s="17">
        <f>(365*D111*0.7)/1000</f>
        <v>1161.7584999999999</v>
      </c>
      <c r="AU111" s="17">
        <f t="shared" si="2"/>
        <v>19.2</v>
      </c>
      <c r="AV111" s="18">
        <f>19200/1000</f>
        <v>19.2</v>
      </c>
      <c r="AW111" s="18">
        <v>0</v>
      </c>
      <c r="AY111" s="18" t="s">
        <v>164</v>
      </c>
      <c r="AZ111" s="18">
        <v>0</v>
      </c>
      <c r="BA111" s="18">
        <v>0</v>
      </c>
      <c r="BB111" s="18">
        <v>0</v>
      </c>
      <c r="BD111" s="18">
        <v>0</v>
      </c>
      <c r="BE111" s="18">
        <v>0</v>
      </c>
      <c r="BG111" s="18" t="s">
        <v>164</v>
      </c>
      <c r="BQ111" s="18">
        <v>72</v>
      </c>
      <c r="BR111" s="18">
        <v>120</v>
      </c>
      <c r="BS111" s="18">
        <v>4.8</v>
      </c>
      <c r="BT111" s="18">
        <v>48</v>
      </c>
      <c r="BU111" s="18">
        <v>0</v>
      </c>
      <c r="BV111" s="18">
        <v>244.8</v>
      </c>
      <c r="BW111" s="15">
        <f t="shared" si="3"/>
        <v>244.8</v>
      </c>
      <c r="BY111" s="18" t="s">
        <v>5134</v>
      </c>
      <c r="BZ111" s="18" t="s">
        <v>5270</v>
      </c>
      <c r="CD111" s="18" t="s">
        <v>5127</v>
      </c>
      <c r="CE111" s="18" t="s">
        <v>111</v>
      </c>
      <c r="CF111" s="18" t="s">
        <v>5135</v>
      </c>
      <c r="CG111" s="18" t="s">
        <v>5720</v>
      </c>
      <c r="CH111" s="18" t="s">
        <v>5556</v>
      </c>
      <c r="CI111" s="18" t="s">
        <v>111</v>
      </c>
      <c r="CJ111" s="18" t="s">
        <v>5196</v>
      </c>
      <c r="CK111" s="18" t="s">
        <v>179</v>
      </c>
      <c r="CL111" s="18">
        <v>0</v>
      </c>
      <c r="CM111" s="18">
        <v>1</v>
      </c>
      <c r="CN111" s="18">
        <v>0</v>
      </c>
      <c r="CO111" s="18">
        <v>1</v>
      </c>
      <c r="CP111" s="18">
        <v>1</v>
      </c>
      <c r="CQ111" s="18">
        <v>0</v>
      </c>
      <c r="CR111" s="18">
        <v>0</v>
      </c>
      <c r="CS111" s="18">
        <v>1</v>
      </c>
      <c r="CT111" s="18">
        <v>0</v>
      </c>
      <c r="CU111" s="18">
        <v>0</v>
      </c>
      <c r="CV111" s="18">
        <v>0</v>
      </c>
      <c r="CX111" s="18">
        <v>1</v>
      </c>
      <c r="CY111" s="18">
        <v>1</v>
      </c>
      <c r="CZ111" s="18">
        <v>0</v>
      </c>
      <c r="DA111" s="18">
        <v>1</v>
      </c>
      <c r="DB111" s="18">
        <v>1</v>
      </c>
      <c r="DC111" s="18">
        <v>0</v>
      </c>
      <c r="DD111" s="18">
        <v>0</v>
      </c>
      <c r="DE111" s="18">
        <v>0</v>
      </c>
      <c r="DF111" s="18">
        <v>1</v>
      </c>
      <c r="DG111" s="18">
        <v>0</v>
      </c>
      <c r="DH111" s="18">
        <v>1</v>
      </c>
      <c r="DI111" s="18">
        <v>1</v>
      </c>
      <c r="DK111" s="18">
        <v>0</v>
      </c>
      <c r="DL111" s="18">
        <v>0</v>
      </c>
      <c r="DM111" s="18" t="s">
        <v>5127</v>
      </c>
      <c r="DN111" s="18" t="s">
        <v>5172</v>
      </c>
      <c r="DO111" s="18" t="s">
        <v>5665</v>
      </c>
      <c r="DP111" s="18" t="s">
        <v>113</v>
      </c>
      <c r="DQ111" s="18" t="s">
        <v>5221</v>
      </c>
      <c r="DS111" s="18">
        <v>0</v>
      </c>
      <c r="DT111" s="18">
        <v>1</v>
      </c>
      <c r="DU111" s="18">
        <v>1</v>
      </c>
      <c r="DV111" s="18" t="s">
        <v>5272</v>
      </c>
      <c r="DX111" s="18" t="s">
        <v>5222</v>
      </c>
      <c r="DY111" s="18" t="s">
        <v>106</v>
      </c>
      <c r="DZ111" s="18" t="s">
        <v>113</v>
      </c>
      <c r="EA111" s="18" t="s">
        <v>5146</v>
      </c>
      <c r="EB111" s="18">
        <v>244800</v>
      </c>
      <c r="EC111" s="18" t="s">
        <v>106</v>
      </c>
      <c r="ED111" s="18" t="s">
        <v>5176</v>
      </c>
      <c r="EE111" s="18" t="s">
        <v>106</v>
      </c>
      <c r="EF111" s="18" t="s">
        <v>113</v>
      </c>
      <c r="EG111" s="18" t="s">
        <v>5148</v>
      </c>
      <c r="EH111" s="18" t="s">
        <v>5203</v>
      </c>
      <c r="EI111" s="18" t="s">
        <v>5204</v>
      </c>
      <c r="EJ111" s="18" t="s">
        <v>5646</v>
      </c>
      <c r="EK111" s="18" t="s">
        <v>113</v>
      </c>
      <c r="EL111" s="18" t="s">
        <v>4243</v>
      </c>
      <c r="EM111" s="18" t="s">
        <v>5721</v>
      </c>
      <c r="EN111" s="18" t="s">
        <v>113</v>
      </c>
      <c r="EO111" s="18" t="s">
        <v>113</v>
      </c>
      <c r="EP111" s="18" t="s">
        <v>113</v>
      </c>
      <c r="EQ111" s="18" t="s">
        <v>113</v>
      </c>
      <c r="ER111" s="18" t="s">
        <v>5152</v>
      </c>
      <c r="ES111" s="18" t="s">
        <v>5153</v>
      </c>
      <c r="ET111" s="18" t="s">
        <v>5154</v>
      </c>
      <c r="EU111" s="18" t="s">
        <v>5155</v>
      </c>
      <c r="EV111" s="18" t="s">
        <v>5276</v>
      </c>
      <c r="EW111" s="18" t="s">
        <v>5277</v>
      </c>
      <c r="EX111" s="18" t="s">
        <v>5158</v>
      </c>
      <c r="EY111" s="18" t="s">
        <v>5181</v>
      </c>
      <c r="EZ111" s="18" t="s">
        <v>5160</v>
      </c>
      <c r="FA111" s="18" t="s">
        <v>144</v>
      </c>
      <c r="FB111" s="18" t="s">
        <v>5161</v>
      </c>
    </row>
    <row r="112" spans="1:158" ht="10.5" customHeight="1" x14ac:dyDescent="0.2">
      <c r="A112" s="16">
        <v>41</v>
      </c>
      <c r="B112" s="16" t="s">
        <v>1462</v>
      </c>
      <c r="C112" s="16" t="s">
        <v>1461</v>
      </c>
      <c r="D112" s="16">
        <v>2896</v>
      </c>
      <c r="E112" s="16" t="s">
        <v>6656</v>
      </c>
      <c r="F112" s="18" t="s">
        <v>1461</v>
      </c>
      <c r="G112" s="18" t="s">
        <v>106</v>
      </c>
      <c r="H112" s="15" t="s">
        <v>5127</v>
      </c>
      <c r="I112" s="18">
        <v>4396508326</v>
      </c>
      <c r="J112" s="18">
        <v>2</v>
      </c>
      <c r="K112" s="18">
        <v>5</v>
      </c>
      <c r="L112" s="18">
        <v>0</v>
      </c>
      <c r="M112" s="18" t="s">
        <v>5183</v>
      </c>
      <c r="N112" s="18">
        <v>0</v>
      </c>
      <c r="T112" s="18" t="s">
        <v>111</v>
      </c>
      <c r="U112" s="18" t="s">
        <v>5250</v>
      </c>
      <c r="V112" s="18" t="s">
        <v>113</v>
      </c>
      <c r="W112" s="18" t="s">
        <v>113</v>
      </c>
      <c r="Y112" s="18" t="s">
        <v>5232</v>
      </c>
      <c r="Z112" s="18" t="s">
        <v>113</v>
      </c>
      <c r="AA112" s="18" t="s">
        <v>5163</v>
      </c>
      <c r="AB112" s="18" t="s">
        <v>179</v>
      </c>
      <c r="AC112" s="18" t="s">
        <v>111</v>
      </c>
      <c r="AD112" s="18" t="s">
        <v>111</v>
      </c>
      <c r="AE112" s="18" t="s">
        <v>111</v>
      </c>
      <c r="AF112" s="18" t="s">
        <v>111</v>
      </c>
      <c r="AG112" s="18" t="s">
        <v>111</v>
      </c>
      <c r="AH112" s="18" t="s">
        <v>111</v>
      </c>
      <c r="AI112" s="18">
        <v>0</v>
      </c>
      <c r="AK112" s="18" t="s">
        <v>5128</v>
      </c>
      <c r="AN112" s="18">
        <v>108000</v>
      </c>
      <c r="AO112" s="18" t="s">
        <v>5294</v>
      </c>
      <c r="AP112" s="18" t="s">
        <v>5722</v>
      </c>
      <c r="AQ112" s="18" t="s">
        <v>5252</v>
      </c>
      <c r="AR112" s="18" t="s">
        <v>179</v>
      </c>
      <c r="AT112" s="17">
        <f>(365*D112*0.7)/1000</f>
        <v>739.928</v>
      </c>
      <c r="AU112" s="17">
        <f t="shared" si="2"/>
        <v>0</v>
      </c>
      <c r="AV112" s="18">
        <v>0</v>
      </c>
      <c r="AW112" s="18">
        <v>0</v>
      </c>
      <c r="AY112" s="18" t="s">
        <v>164</v>
      </c>
      <c r="BG112" s="18" t="s">
        <v>5723</v>
      </c>
      <c r="BQ112" s="18">
        <v>0</v>
      </c>
      <c r="BR112" s="18">
        <v>0</v>
      </c>
      <c r="BS112" s="18">
        <v>0</v>
      </c>
      <c r="BT112" s="18">
        <v>0</v>
      </c>
      <c r="BU112" s="18">
        <v>0</v>
      </c>
      <c r="BV112" s="18">
        <v>0</v>
      </c>
      <c r="BW112" s="15">
        <f t="shared" si="3"/>
        <v>0</v>
      </c>
      <c r="BY112" s="18" t="s">
        <v>5322</v>
      </c>
      <c r="BZ112" s="18" t="s">
        <v>193</v>
      </c>
      <c r="CD112" s="18" t="s">
        <v>111</v>
      </c>
      <c r="CE112" s="18" t="s">
        <v>111</v>
      </c>
      <c r="CF112" s="18" t="s">
        <v>5135</v>
      </c>
      <c r="CG112" s="18" t="s">
        <v>5724</v>
      </c>
      <c r="CH112" s="18" t="s">
        <v>111</v>
      </c>
      <c r="CI112" s="18" t="s">
        <v>111</v>
      </c>
      <c r="CJ112" s="18" t="s">
        <v>5139</v>
      </c>
      <c r="CK112" s="18" t="s">
        <v>179</v>
      </c>
      <c r="CL112" s="18">
        <v>0</v>
      </c>
      <c r="CM112" s="18">
        <v>0</v>
      </c>
      <c r="CN112" s="18">
        <v>0</v>
      </c>
      <c r="CO112" s="18">
        <v>0</v>
      </c>
      <c r="CP112" s="18">
        <v>0</v>
      </c>
      <c r="CQ112" s="18">
        <v>0</v>
      </c>
      <c r="CR112" s="18">
        <v>0</v>
      </c>
      <c r="CS112" s="18">
        <v>0</v>
      </c>
      <c r="CT112" s="18">
        <v>0</v>
      </c>
      <c r="CU112" s="18">
        <v>0</v>
      </c>
      <c r="CV112" s="18">
        <v>0</v>
      </c>
      <c r="CX112" s="18">
        <v>0</v>
      </c>
      <c r="CY112" s="18">
        <v>0</v>
      </c>
      <c r="CZ112" s="18">
        <v>0</v>
      </c>
      <c r="DA112" s="18">
        <v>0</v>
      </c>
      <c r="DB112" s="18">
        <v>0</v>
      </c>
      <c r="DC112" s="18">
        <v>0</v>
      </c>
      <c r="DD112" s="18">
        <v>0</v>
      </c>
      <c r="DE112" s="18">
        <v>0</v>
      </c>
      <c r="DF112" s="18">
        <v>0</v>
      </c>
      <c r="DG112" s="18">
        <v>0</v>
      </c>
      <c r="DH112" s="18">
        <v>0</v>
      </c>
      <c r="DI112" s="18">
        <v>0</v>
      </c>
      <c r="DK112" s="18">
        <v>0</v>
      </c>
      <c r="DL112" s="18">
        <v>0</v>
      </c>
      <c r="DM112" s="18" t="s">
        <v>111</v>
      </c>
      <c r="DN112" s="18" t="s">
        <v>5299</v>
      </c>
      <c r="DO112" s="18" t="s">
        <v>5259</v>
      </c>
      <c r="DP112" s="18" t="s">
        <v>113</v>
      </c>
      <c r="DQ112" s="18" t="s">
        <v>179</v>
      </c>
      <c r="DS112" s="18" t="s">
        <v>220</v>
      </c>
      <c r="DT112" s="18">
        <v>0</v>
      </c>
      <c r="DU112" s="18">
        <v>0</v>
      </c>
      <c r="DV112" s="18" t="s">
        <v>5377</v>
      </c>
      <c r="DX112" s="18" t="s">
        <v>5222</v>
      </c>
      <c r="DY112" s="18" t="s">
        <v>106</v>
      </c>
      <c r="DZ112" s="18" t="s">
        <v>113</v>
      </c>
      <c r="EA112" s="18" t="s">
        <v>5146</v>
      </c>
      <c r="EB112" s="18">
        <v>84000</v>
      </c>
      <c r="EC112" s="18" t="s">
        <v>113</v>
      </c>
      <c r="ED112" s="18" t="s">
        <v>5147</v>
      </c>
      <c r="EE112" s="18" t="s">
        <v>106</v>
      </c>
      <c r="EF112" s="18" t="s">
        <v>106</v>
      </c>
      <c r="EG112" s="18" t="s">
        <v>5326</v>
      </c>
      <c r="EH112" s="18" t="s">
        <v>5149</v>
      </c>
      <c r="EI112" s="18" t="s">
        <v>5150</v>
      </c>
      <c r="EJ112" s="18" t="s">
        <v>5422</v>
      </c>
      <c r="EK112" s="18" t="s">
        <v>113</v>
      </c>
      <c r="EM112" s="18" t="s">
        <v>5227</v>
      </c>
      <c r="EN112" s="18" t="s">
        <v>113</v>
      </c>
      <c r="EO112" s="18" t="s">
        <v>113</v>
      </c>
      <c r="EP112" s="18" t="s">
        <v>113</v>
      </c>
      <c r="EQ112" s="18" t="s">
        <v>113</v>
      </c>
      <c r="ER112" s="18" t="s">
        <v>5289</v>
      </c>
      <c r="ES112" s="18" t="s">
        <v>5454</v>
      </c>
      <c r="ET112" s="18" t="s">
        <v>5154</v>
      </c>
      <c r="EU112" s="18" t="s">
        <v>5318</v>
      </c>
      <c r="EV112" s="18" t="s">
        <v>179</v>
      </c>
      <c r="EW112" s="18" t="s">
        <v>179</v>
      </c>
      <c r="EX112" s="18" t="s">
        <v>5307</v>
      </c>
      <c r="EY112" s="18" t="s">
        <v>5229</v>
      </c>
      <c r="EZ112" s="18" t="s">
        <v>5725</v>
      </c>
    </row>
    <row r="113" spans="1:158" ht="10.5" customHeight="1" x14ac:dyDescent="0.2">
      <c r="A113" s="16">
        <v>41</v>
      </c>
      <c r="B113" s="16" t="s">
        <v>1476</v>
      </c>
      <c r="C113" s="16" t="s">
        <v>108</v>
      </c>
      <c r="D113" s="16">
        <v>1829225</v>
      </c>
      <c r="E113" s="16" t="s">
        <v>6660</v>
      </c>
      <c r="F113" s="18" t="s">
        <v>108</v>
      </c>
      <c r="G113" s="18" t="s">
        <v>106</v>
      </c>
      <c r="H113" s="15" t="s">
        <v>5127</v>
      </c>
      <c r="I113" s="18">
        <v>18</v>
      </c>
      <c r="J113" s="18">
        <v>7</v>
      </c>
      <c r="K113" s="18">
        <v>11</v>
      </c>
      <c r="M113" s="18" t="s">
        <v>5183</v>
      </c>
      <c r="N113" s="18">
        <v>23004406</v>
      </c>
      <c r="O113" s="18">
        <v>46060</v>
      </c>
      <c r="T113" s="18" t="s">
        <v>5726</v>
      </c>
      <c r="U113" s="18" t="s">
        <v>5185</v>
      </c>
      <c r="V113" s="18" t="s">
        <v>106</v>
      </c>
      <c r="W113" s="18" t="s">
        <v>5124</v>
      </c>
      <c r="Y113" s="18" t="s">
        <v>5162</v>
      </c>
      <c r="Z113" s="18" t="s">
        <v>106</v>
      </c>
      <c r="AA113" s="18" t="s">
        <v>5267</v>
      </c>
      <c r="AB113" s="18" t="s">
        <v>179</v>
      </c>
      <c r="AC113" s="18" t="s">
        <v>5127</v>
      </c>
      <c r="AD113" s="18" t="s">
        <v>5127</v>
      </c>
      <c r="AE113" s="18" t="s">
        <v>5127</v>
      </c>
      <c r="AF113" s="18" t="s">
        <v>5127</v>
      </c>
      <c r="AG113" s="18" t="s">
        <v>5127</v>
      </c>
      <c r="AH113" s="18" t="s">
        <v>5127</v>
      </c>
      <c r="AI113" s="18">
        <v>1</v>
      </c>
      <c r="AK113" s="18" t="s">
        <v>5164</v>
      </c>
      <c r="AN113" s="18">
        <v>598077</v>
      </c>
      <c r="AO113" s="18" t="s">
        <v>5165</v>
      </c>
      <c r="AP113" s="18" t="s">
        <v>5456</v>
      </c>
      <c r="AQ113" s="18" t="s">
        <v>5311</v>
      </c>
      <c r="AR113" s="18" t="s">
        <v>5727</v>
      </c>
      <c r="AT113" s="17">
        <f>(365*D113*0.7)/1000</f>
        <v>467366.98749999999</v>
      </c>
      <c r="AU113" s="17">
        <f t="shared" si="2"/>
        <v>179.423</v>
      </c>
      <c r="AV113" s="18">
        <f>81769/1000</f>
        <v>81.769000000000005</v>
      </c>
      <c r="AW113" s="18">
        <f>97654/1000</f>
        <v>97.653999999999996</v>
      </c>
      <c r="AY113" s="18" t="s">
        <v>5728</v>
      </c>
      <c r="BG113" s="18" t="s">
        <v>5238</v>
      </c>
      <c r="BQ113" s="18">
        <f>159300/1000</f>
        <v>159.30000000000001</v>
      </c>
      <c r="BR113" s="18">
        <f>87729/1000</f>
        <v>87.728999999999999</v>
      </c>
      <c r="BS113" s="18">
        <f>30395/1000</f>
        <v>30.395</v>
      </c>
      <c r="BT113" s="18">
        <f>141230/1000</f>
        <v>141.22999999999999</v>
      </c>
      <c r="BU113" s="18">
        <v>0</v>
      </c>
      <c r="BV113" s="18">
        <f t="shared" ref="BV113:BV161" si="4">SUM(BQ113:BU113)</f>
        <v>418.654</v>
      </c>
      <c r="BW113" s="15">
        <f t="shared" si="3"/>
        <v>418.654</v>
      </c>
      <c r="BY113" s="18" t="s">
        <v>5134</v>
      </c>
      <c r="BZ113" s="18" t="s">
        <v>5688</v>
      </c>
      <c r="CD113" s="18" t="s">
        <v>5127</v>
      </c>
      <c r="CE113" s="18" t="s">
        <v>5127</v>
      </c>
      <c r="CF113" s="18" t="s">
        <v>5135</v>
      </c>
      <c r="CG113" s="18" t="s">
        <v>5550</v>
      </c>
      <c r="CH113" s="18" t="s">
        <v>5556</v>
      </c>
      <c r="CI113" s="18" t="s">
        <v>5195</v>
      </c>
      <c r="CJ113" s="18" t="s">
        <v>5196</v>
      </c>
      <c r="CK113" s="18" t="s">
        <v>5341</v>
      </c>
      <c r="CL113" s="18">
        <v>1</v>
      </c>
      <c r="CM113" s="18">
        <v>1</v>
      </c>
      <c r="CN113" s="18">
        <v>0</v>
      </c>
      <c r="CO113" s="18">
        <v>1</v>
      </c>
      <c r="CP113" s="18">
        <v>1</v>
      </c>
      <c r="CQ113" s="18">
        <v>1</v>
      </c>
      <c r="CR113" s="18" t="s">
        <v>5141</v>
      </c>
      <c r="CS113" s="18" t="s">
        <v>5141</v>
      </c>
      <c r="CT113" s="18">
        <v>0</v>
      </c>
      <c r="CU113" s="18">
        <v>1</v>
      </c>
      <c r="CV113" s="18">
        <v>1</v>
      </c>
      <c r="CX113" s="18">
        <v>1</v>
      </c>
      <c r="CY113" s="18">
        <v>1</v>
      </c>
      <c r="CZ113" s="18">
        <v>1</v>
      </c>
      <c r="DA113" s="18">
        <v>1</v>
      </c>
      <c r="DB113" s="18">
        <v>1</v>
      </c>
      <c r="DC113" s="18">
        <v>1</v>
      </c>
      <c r="DD113" s="18">
        <v>1</v>
      </c>
      <c r="DE113" s="18" t="s">
        <v>5141</v>
      </c>
      <c r="DF113" s="18" t="s">
        <v>5141</v>
      </c>
      <c r="DG113" s="18">
        <v>1</v>
      </c>
      <c r="DH113" s="18">
        <v>1</v>
      </c>
      <c r="DI113" s="18">
        <v>1</v>
      </c>
      <c r="DK113" s="18">
        <v>0</v>
      </c>
      <c r="DL113" s="18">
        <v>0</v>
      </c>
      <c r="DM113" s="18" t="s">
        <v>5127</v>
      </c>
      <c r="DN113" s="18" t="s">
        <v>5198</v>
      </c>
      <c r="DO113" s="18" t="s">
        <v>5665</v>
      </c>
      <c r="DP113" s="18" t="s">
        <v>106</v>
      </c>
      <c r="DS113" s="18">
        <v>0</v>
      </c>
      <c r="DT113" s="18">
        <v>1</v>
      </c>
      <c r="DU113" s="18">
        <v>1</v>
      </c>
      <c r="DV113" s="18" t="s">
        <v>5342</v>
      </c>
      <c r="DX113" s="18" t="s">
        <v>5222</v>
      </c>
      <c r="DY113" s="18" t="s">
        <v>106</v>
      </c>
      <c r="DZ113" s="18" t="s">
        <v>106</v>
      </c>
      <c r="EA113" s="18" t="s">
        <v>5175</v>
      </c>
      <c r="EB113" s="18">
        <v>418654</v>
      </c>
      <c r="EC113" s="18" t="s">
        <v>106</v>
      </c>
      <c r="ED113" s="18" t="s">
        <v>5176</v>
      </c>
      <c r="EE113" s="18" t="s">
        <v>106</v>
      </c>
      <c r="EF113" s="18" t="s">
        <v>106</v>
      </c>
      <c r="EH113" s="18" t="s">
        <v>5203</v>
      </c>
      <c r="EI113" s="18" t="s">
        <v>5204</v>
      </c>
      <c r="EJ113" s="18" t="s">
        <v>5245</v>
      </c>
      <c r="EN113" s="18" t="s">
        <v>106</v>
      </c>
      <c r="EO113" s="18" t="s">
        <v>113</v>
      </c>
      <c r="EP113" s="18" t="s">
        <v>113</v>
      </c>
      <c r="EQ113" s="18" t="s">
        <v>113</v>
      </c>
      <c r="ER113" s="18" t="s">
        <v>5289</v>
      </c>
      <c r="ES113" s="18" t="s">
        <v>5729</v>
      </c>
      <c r="ET113" s="18" t="s">
        <v>5154</v>
      </c>
      <c r="EU113" s="18" t="s">
        <v>5318</v>
      </c>
      <c r="EV113" s="18" t="s">
        <v>5730</v>
      </c>
      <c r="EW113" s="18" t="s">
        <v>5247</v>
      </c>
      <c r="EX113" s="18" t="s">
        <v>5158</v>
      </c>
      <c r="EY113" s="18" t="s">
        <v>5347</v>
      </c>
      <c r="EZ113" s="18" t="s">
        <v>5182</v>
      </c>
      <c r="FA113" s="18" t="s">
        <v>144</v>
      </c>
      <c r="FB113" s="18" t="s">
        <v>5161</v>
      </c>
    </row>
    <row r="114" spans="1:158" ht="10.5" customHeight="1" x14ac:dyDescent="0.2">
      <c r="A114" s="16">
        <v>41</v>
      </c>
      <c r="B114" s="16" t="s">
        <v>1476</v>
      </c>
      <c r="C114" s="16" t="s">
        <v>108</v>
      </c>
      <c r="D114" s="16">
        <v>1829225</v>
      </c>
      <c r="E114" s="16" t="s">
        <v>6660</v>
      </c>
      <c r="F114" s="18" t="s">
        <v>108</v>
      </c>
      <c r="G114" s="18" t="s">
        <v>106</v>
      </c>
      <c r="H114" s="15" t="s">
        <v>5127</v>
      </c>
      <c r="I114" s="18">
        <v>11</v>
      </c>
      <c r="J114" s="18">
        <v>5</v>
      </c>
      <c r="K114" s="18">
        <v>6</v>
      </c>
      <c r="M114" s="18" t="s">
        <v>5183</v>
      </c>
      <c r="N114" s="18">
        <v>24003369</v>
      </c>
      <c r="O114" s="18">
        <v>45930</v>
      </c>
      <c r="T114" s="18" t="s">
        <v>111</v>
      </c>
      <c r="U114" s="18" t="s">
        <v>5185</v>
      </c>
      <c r="V114" s="18" t="s">
        <v>106</v>
      </c>
      <c r="W114" s="18" t="s">
        <v>5124</v>
      </c>
      <c r="Y114" s="18" t="s">
        <v>5162</v>
      </c>
      <c r="Z114" s="18" t="s">
        <v>106</v>
      </c>
      <c r="AA114" s="18" t="s">
        <v>5267</v>
      </c>
      <c r="AB114" s="18" t="s">
        <v>179</v>
      </c>
      <c r="AC114" s="18" t="s">
        <v>5127</v>
      </c>
      <c r="AD114" s="18" t="s">
        <v>5127</v>
      </c>
      <c r="AE114" s="18" t="s">
        <v>5127</v>
      </c>
      <c r="AF114" s="18" t="s">
        <v>5127</v>
      </c>
      <c r="AG114" s="18" t="s">
        <v>5127</v>
      </c>
      <c r="AH114" s="18" t="s">
        <v>111</v>
      </c>
      <c r="AI114" s="18">
        <v>2</v>
      </c>
      <c r="AK114" s="18" t="s">
        <v>5164</v>
      </c>
      <c r="AN114" s="18">
        <v>335950</v>
      </c>
      <c r="AO114" s="18" t="s">
        <v>5165</v>
      </c>
      <c r="AP114" s="18" t="s">
        <v>5456</v>
      </c>
      <c r="AQ114" s="18" t="s">
        <v>5311</v>
      </c>
      <c r="AR114" s="18" t="s">
        <v>5727</v>
      </c>
      <c r="AT114" s="17">
        <f>(365*D114*0.7)/1000</f>
        <v>467366.98749999999</v>
      </c>
      <c r="AU114" s="17">
        <f t="shared" si="2"/>
        <v>100.785</v>
      </c>
      <c r="AV114" s="18">
        <f>27534/1000</f>
        <v>27.533999999999999</v>
      </c>
      <c r="AW114" s="18">
        <f>73251/1000</f>
        <v>73.251000000000005</v>
      </c>
      <c r="AY114" s="18" t="s">
        <v>5728</v>
      </c>
      <c r="BG114" s="18" t="s">
        <v>5133</v>
      </c>
      <c r="BQ114" s="18">
        <f>106526/1000</f>
        <v>106.526</v>
      </c>
      <c r="BR114" s="18">
        <f>55917/1000</f>
        <v>55.917000000000002</v>
      </c>
      <c r="BS114" s="18">
        <f>17443/1000</f>
        <v>17.443000000000001</v>
      </c>
      <c r="BT114" s="18">
        <f>55279/1000</f>
        <v>55.279000000000003</v>
      </c>
      <c r="BU114" s="18">
        <v>0</v>
      </c>
      <c r="BV114" s="18">
        <f t="shared" si="4"/>
        <v>235.16499999999999</v>
      </c>
      <c r="BW114" s="15">
        <f t="shared" si="3"/>
        <v>235.16499999999999</v>
      </c>
      <c r="BY114" s="18" t="s">
        <v>5134</v>
      </c>
      <c r="BZ114" s="18" t="s">
        <v>5688</v>
      </c>
      <c r="CD114" s="18" t="s">
        <v>5127</v>
      </c>
      <c r="CE114" s="18" t="s">
        <v>5127</v>
      </c>
      <c r="CF114" s="18" t="s">
        <v>5135</v>
      </c>
      <c r="CG114" s="18" t="s">
        <v>5550</v>
      </c>
      <c r="CH114" s="18" t="s">
        <v>5556</v>
      </c>
      <c r="CI114" s="18" t="s">
        <v>5195</v>
      </c>
      <c r="CJ114" s="18" t="s">
        <v>5196</v>
      </c>
      <c r="CK114" s="18" t="s">
        <v>5341</v>
      </c>
      <c r="CL114" s="18">
        <v>1</v>
      </c>
      <c r="CM114" s="18">
        <v>1</v>
      </c>
      <c r="CN114" s="18">
        <v>0</v>
      </c>
      <c r="CO114" s="18">
        <v>1</v>
      </c>
      <c r="CP114" s="18">
        <v>1</v>
      </c>
      <c r="CQ114" s="18">
        <v>1</v>
      </c>
      <c r="CR114" s="18" t="s">
        <v>5141</v>
      </c>
      <c r="CS114" s="18" t="s">
        <v>5141</v>
      </c>
      <c r="CT114" s="18">
        <v>0</v>
      </c>
      <c r="CU114" s="18">
        <v>1</v>
      </c>
      <c r="CV114" s="18">
        <v>1</v>
      </c>
      <c r="CX114" s="18">
        <v>2</v>
      </c>
      <c r="CY114" s="18">
        <v>1</v>
      </c>
      <c r="CZ114" s="18">
        <v>1</v>
      </c>
      <c r="DA114" s="18">
        <v>1</v>
      </c>
      <c r="DB114" s="18">
        <v>1</v>
      </c>
      <c r="DC114" s="18">
        <v>1</v>
      </c>
      <c r="DD114" s="18">
        <v>1</v>
      </c>
      <c r="DE114" s="18" t="s">
        <v>5141</v>
      </c>
      <c r="DF114" s="18" t="s">
        <v>5141</v>
      </c>
      <c r="DG114" s="18">
        <v>1</v>
      </c>
      <c r="DH114" s="18">
        <v>1</v>
      </c>
      <c r="DI114" s="18">
        <v>2</v>
      </c>
      <c r="DK114" s="18">
        <v>0</v>
      </c>
      <c r="DL114" s="18">
        <v>0</v>
      </c>
      <c r="DM114" s="18" t="s">
        <v>5127</v>
      </c>
      <c r="DN114" s="18" t="s">
        <v>5258</v>
      </c>
      <c r="DO114" s="18" t="s">
        <v>5665</v>
      </c>
      <c r="DP114" s="18" t="s">
        <v>106</v>
      </c>
      <c r="DS114" s="18">
        <v>0</v>
      </c>
      <c r="DT114" s="18">
        <v>1</v>
      </c>
      <c r="DU114" s="18">
        <v>1</v>
      </c>
      <c r="DV114" s="18" t="s">
        <v>5342</v>
      </c>
      <c r="DX114" s="18" t="s">
        <v>5222</v>
      </c>
      <c r="DY114" s="18" t="s">
        <v>106</v>
      </c>
      <c r="DZ114" s="18" t="s">
        <v>106</v>
      </c>
      <c r="EA114" s="18" t="s">
        <v>5175</v>
      </c>
      <c r="EB114" s="18">
        <v>235165</v>
      </c>
      <c r="EC114" s="18" t="s">
        <v>106</v>
      </c>
      <c r="ED114" s="18" t="s">
        <v>5176</v>
      </c>
      <c r="EE114" s="18" t="s">
        <v>106</v>
      </c>
      <c r="EF114" s="18" t="s">
        <v>106</v>
      </c>
      <c r="EH114" s="18" t="s">
        <v>5203</v>
      </c>
      <c r="EI114" s="18" t="s">
        <v>5204</v>
      </c>
      <c r="EJ114" s="18" t="s">
        <v>5245</v>
      </c>
      <c r="EN114" s="18" t="s">
        <v>106</v>
      </c>
      <c r="EO114" s="18" t="s">
        <v>113</v>
      </c>
      <c r="EP114" s="18" t="s">
        <v>113</v>
      </c>
      <c r="EQ114" s="18" t="s">
        <v>113</v>
      </c>
      <c r="ER114" s="18" t="s">
        <v>5328</v>
      </c>
      <c r="ES114" s="18" t="s">
        <v>5498</v>
      </c>
      <c r="ET114" s="18" t="s">
        <v>5154</v>
      </c>
      <c r="EU114" s="18" t="s">
        <v>5155</v>
      </c>
      <c r="EV114" s="18" t="s">
        <v>5730</v>
      </c>
      <c r="EW114" s="18" t="s">
        <v>5247</v>
      </c>
      <c r="EX114" s="18" t="s">
        <v>5158</v>
      </c>
      <c r="EY114" s="18" t="s">
        <v>5159</v>
      </c>
      <c r="EZ114" s="18" t="s">
        <v>5182</v>
      </c>
      <c r="FA114" s="18" t="s">
        <v>144</v>
      </c>
      <c r="FB114" s="18" t="s">
        <v>5161</v>
      </c>
    </row>
    <row r="115" spans="1:158" ht="10.5" customHeight="1" x14ac:dyDescent="0.2">
      <c r="A115" s="16">
        <v>41</v>
      </c>
      <c r="B115" s="16" t="s">
        <v>1476</v>
      </c>
      <c r="C115" s="16" t="s">
        <v>108</v>
      </c>
      <c r="D115" s="16">
        <v>1829225</v>
      </c>
      <c r="E115" s="16" t="s">
        <v>6660</v>
      </c>
      <c r="F115" s="18" t="s">
        <v>108</v>
      </c>
      <c r="G115" s="18" t="s">
        <v>106</v>
      </c>
      <c r="H115" s="15" t="s">
        <v>5127</v>
      </c>
      <c r="I115" s="18">
        <v>15</v>
      </c>
      <c r="J115" s="18">
        <v>8</v>
      </c>
      <c r="K115" s="18">
        <v>9</v>
      </c>
      <c r="M115" s="18" t="s">
        <v>5121</v>
      </c>
      <c r="N115" s="18">
        <v>23001288</v>
      </c>
      <c r="O115" s="18">
        <v>46517</v>
      </c>
      <c r="T115" s="18" t="s">
        <v>111</v>
      </c>
      <c r="U115" s="18" t="s">
        <v>5185</v>
      </c>
      <c r="V115" s="18" t="s">
        <v>106</v>
      </c>
      <c r="W115" s="18" t="s">
        <v>5124</v>
      </c>
      <c r="Y115" s="18" t="s">
        <v>5162</v>
      </c>
      <c r="Z115" s="18" t="s">
        <v>106</v>
      </c>
      <c r="AA115" s="18" t="s">
        <v>5267</v>
      </c>
      <c r="AB115" s="18" t="s">
        <v>179</v>
      </c>
      <c r="AC115" s="18" t="s">
        <v>5127</v>
      </c>
      <c r="AD115" s="18" t="s">
        <v>5127</v>
      </c>
      <c r="AE115" s="18" t="s">
        <v>5127</v>
      </c>
      <c r="AF115" s="18" t="s">
        <v>5127</v>
      </c>
      <c r="AG115" s="18" t="s">
        <v>5127</v>
      </c>
      <c r="AH115" s="18" t="s">
        <v>111</v>
      </c>
      <c r="AI115" s="18">
        <v>1</v>
      </c>
      <c r="AK115" s="18" t="s">
        <v>5164</v>
      </c>
      <c r="AN115" s="18">
        <v>193175</v>
      </c>
      <c r="AO115" s="18" t="s">
        <v>5165</v>
      </c>
      <c r="AP115" s="18" t="s">
        <v>5456</v>
      </c>
      <c r="AQ115" s="18" t="s">
        <v>5311</v>
      </c>
      <c r="AR115" s="18" t="s">
        <v>5727</v>
      </c>
      <c r="AT115" s="17">
        <f>(365*D115*0.7)/1000</f>
        <v>467366.98749999999</v>
      </c>
      <c r="AU115" s="17">
        <f t="shared" si="2"/>
        <v>57.951999999999998</v>
      </c>
      <c r="AV115" s="18">
        <f>32316/1000</f>
        <v>32.316000000000003</v>
      </c>
      <c r="AW115" s="18">
        <f>25636/1000</f>
        <v>25.635999999999999</v>
      </c>
      <c r="AY115" s="18" t="s">
        <v>5728</v>
      </c>
      <c r="BG115" s="18" t="s">
        <v>5133</v>
      </c>
      <c r="BQ115" s="18">
        <f>75584/1000</f>
        <v>75.584000000000003</v>
      </c>
      <c r="BR115" s="18">
        <f>33554/1000</f>
        <v>33.554000000000002</v>
      </c>
      <c r="BS115" s="18">
        <f>6000/1000</f>
        <v>6</v>
      </c>
      <c r="BT115" s="18">
        <f>20085/1000</f>
        <v>20.085000000000001</v>
      </c>
      <c r="BU115" s="18">
        <v>0</v>
      </c>
      <c r="BV115" s="18">
        <f t="shared" si="4"/>
        <v>135.22300000000001</v>
      </c>
      <c r="BW115" s="15">
        <f t="shared" si="3"/>
        <v>135.22300000000001</v>
      </c>
      <c r="BY115" s="18" t="s">
        <v>5134</v>
      </c>
      <c r="BZ115" s="18" t="s">
        <v>5688</v>
      </c>
      <c r="CD115" s="18" t="s">
        <v>5127</v>
      </c>
      <c r="CE115" s="18" t="s">
        <v>5127</v>
      </c>
      <c r="CF115" s="18" t="s">
        <v>5135</v>
      </c>
      <c r="CG115" s="18" t="s">
        <v>5550</v>
      </c>
      <c r="CH115" s="18" t="s">
        <v>5556</v>
      </c>
      <c r="CI115" s="18" t="s">
        <v>5195</v>
      </c>
      <c r="CJ115" s="18" t="s">
        <v>5196</v>
      </c>
      <c r="CK115" s="18" t="s">
        <v>5341</v>
      </c>
      <c r="CL115" s="18">
        <v>1</v>
      </c>
      <c r="CM115" s="18">
        <v>1</v>
      </c>
      <c r="CN115" s="18">
        <v>0</v>
      </c>
      <c r="CO115" s="18">
        <v>1</v>
      </c>
      <c r="CP115" s="18">
        <v>1</v>
      </c>
      <c r="CQ115" s="18">
        <v>1</v>
      </c>
      <c r="CR115" s="18" t="s">
        <v>5141</v>
      </c>
      <c r="CS115" s="18" t="s">
        <v>5141</v>
      </c>
      <c r="CT115" s="18">
        <v>0</v>
      </c>
      <c r="CU115" s="18">
        <v>1</v>
      </c>
      <c r="CV115" s="18">
        <v>1</v>
      </c>
      <c r="CX115" s="18">
        <v>1</v>
      </c>
      <c r="CY115" s="18">
        <v>1</v>
      </c>
      <c r="CZ115" s="18">
        <v>1</v>
      </c>
      <c r="DA115" s="18">
        <v>1</v>
      </c>
      <c r="DB115" s="18">
        <v>1</v>
      </c>
      <c r="DC115" s="18">
        <v>1</v>
      </c>
      <c r="DD115" s="18">
        <v>1</v>
      </c>
      <c r="DE115" s="18" t="s">
        <v>5141</v>
      </c>
      <c r="DF115" s="18" t="s">
        <v>5141</v>
      </c>
      <c r="DG115" s="18">
        <v>1</v>
      </c>
      <c r="DH115" s="18">
        <v>1</v>
      </c>
      <c r="DI115" s="18">
        <v>1</v>
      </c>
      <c r="DK115" s="18">
        <v>0</v>
      </c>
      <c r="DL115" s="18">
        <v>0</v>
      </c>
      <c r="DM115" s="18" t="s">
        <v>5127</v>
      </c>
      <c r="DN115" s="18" t="s">
        <v>5258</v>
      </c>
      <c r="DO115" s="18" t="s">
        <v>5665</v>
      </c>
      <c r="DP115" s="18" t="s">
        <v>106</v>
      </c>
      <c r="DS115" s="18">
        <v>0</v>
      </c>
      <c r="DT115" s="18">
        <v>1</v>
      </c>
      <c r="DU115" s="18">
        <v>1</v>
      </c>
      <c r="DV115" s="18" t="s">
        <v>5342</v>
      </c>
      <c r="DX115" s="18" t="s">
        <v>5222</v>
      </c>
      <c r="DY115" s="18" t="s">
        <v>106</v>
      </c>
      <c r="DZ115" s="18" t="s">
        <v>106</v>
      </c>
      <c r="EA115" s="18" t="s">
        <v>5175</v>
      </c>
      <c r="EB115" s="18">
        <v>135223</v>
      </c>
      <c r="EC115" s="18" t="s">
        <v>106</v>
      </c>
      <c r="ED115" s="18" t="s">
        <v>5176</v>
      </c>
      <c r="EE115" s="18" t="s">
        <v>106</v>
      </c>
      <c r="EF115" s="18" t="s">
        <v>106</v>
      </c>
      <c r="EH115" s="18" t="s">
        <v>5203</v>
      </c>
      <c r="EI115" s="18" t="s">
        <v>5204</v>
      </c>
      <c r="EJ115" s="18" t="s">
        <v>5245</v>
      </c>
      <c r="EN115" s="18" t="s">
        <v>106</v>
      </c>
      <c r="EO115" s="18" t="s">
        <v>113</v>
      </c>
      <c r="EP115" s="18" t="s">
        <v>113</v>
      </c>
      <c r="EQ115" s="18" t="s">
        <v>113</v>
      </c>
      <c r="ER115" s="18" t="s">
        <v>5328</v>
      </c>
      <c r="ES115" s="18" t="s">
        <v>5731</v>
      </c>
      <c r="ET115" s="18" t="s">
        <v>5154</v>
      </c>
      <c r="EU115" s="18" t="s">
        <v>5318</v>
      </c>
      <c r="EV115" s="18" t="s">
        <v>5730</v>
      </c>
      <c r="EW115" s="18" t="s">
        <v>5247</v>
      </c>
      <c r="EX115" s="18" t="s">
        <v>5158</v>
      </c>
      <c r="EY115" s="18" t="s">
        <v>5159</v>
      </c>
      <c r="EZ115" s="18" t="s">
        <v>5182</v>
      </c>
      <c r="FA115" s="18" t="s">
        <v>144</v>
      </c>
      <c r="FB115" s="18" t="s">
        <v>5161</v>
      </c>
    </row>
    <row r="116" spans="1:158" ht="10.5" customHeight="1" x14ac:dyDescent="0.2">
      <c r="A116" s="16">
        <v>41</v>
      </c>
      <c r="B116" s="16" t="s">
        <v>1476</v>
      </c>
      <c r="C116" s="16" t="s">
        <v>108</v>
      </c>
      <c r="D116" s="16">
        <v>1829225</v>
      </c>
      <c r="E116" s="16" t="s">
        <v>6660</v>
      </c>
      <c r="F116" s="18" t="s">
        <v>108</v>
      </c>
      <c r="G116" s="18" t="s">
        <v>106</v>
      </c>
      <c r="H116" s="15" t="s">
        <v>5127</v>
      </c>
      <c r="I116" s="18">
        <v>14</v>
      </c>
      <c r="J116" s="18">
        <v>9</v>
      </c>
      <c r="K116" s="18">
        <v>5</v>
      </c>
      <c r="M116" s="18" t="s">
        <v>5230</v>
      </c>
      <c r="N116" s="18">
        <v>24003887</v>
      </c>
      <c r="O116" s="18">
        <v>46376</v>
      </c>
      <c r="T116" s="18" t="s">
        <v>111</v>
      </c>
      <c r="U116" s="18" t="s">
        <v>5185</v>
      </c>
      <c r="V116" s="18" t="s">
        <v>106</v>
      </c>
      <c r="W116" s="18" t="s">
        <v>5124</v>
      </c>
      <c r="Y116" s="18" t="s">
        <v>5162</v>
      </c>
      <c r="Z116" s="18" t="s">
        <v>106</v>
      </c>
      <c r="AA116" s="18" t="s">
        <v>5267</v>
      </c>
      <c r="AB116" s="18" t="s">
        <v>179</v>
      </c>
      <c r="AC116" s="18" t="s">
        <v>5127</v>
      </c>
      <c r="AD116" s="18" t="s">
        <v>5127</v>
      </c>
      <c r="AE116" s="18" t="s">
        <v>5127</v>
      </c>
      <c r="AF116" s="18" t="s">
        <v>5127</v>
      </c>
      <c r="AG116" s="18" t="s">
        <v>5127</v>
      </c>
      <c r="AH116" s="18" t="s">
        <v>111</v>
      </c>
      <c r="AI116" s="18">
        <v>1</v>
      </c>
      <c r="AK116" s="18" t="s">
        <v>5164</v>
      </c>
      <c r="AN116" s="18">
        <v>344991</v>
      </c>
      <c r="AO116" s="18" t="s">
        <v>5165</v>
      </c>
      <c r="AP116" s="18" t="s">
        <v>5732</v>
      </c>
      <c r="AQ116" s="18" t="s">
        <v>5311</v>
      </c>
      <c r="AR116" s="18" t="s">
        <v>5727</v>
      </c>
      <c r="AT116" s="17">
        <f>(365*D116*0.7)/1000</f>
        <v>467366.98749999999</v>
      </c>
      <c r="AU116" s="17">
        <f t="shared" si="2"/>
        <v>103.497</v>
      </c>
      <c r="AV116" s="18">
        <f>55261/1000</f>
        <v>55.261000000000003</v>
      </c>
      <c r="AW116" s="18">
        <f>48236/1000</f>
        <v>48.235999999999997</v>
      </c>
      <c r="AY116" s="18" t="s">
        <v>5728</v>
      </c>
      <c r="BG116" s="18" t="s">
        <v>5133</v>
      </c>
      <c r="BQ116" s="18">
        <f>113071/1000</f>
        <v>113.071</v>
      </c>
      <c r="BR116" s="18">
        <f>54818/1000</f>
        <v>54.817999999999998</v>
      </c>
      <c r="BS116" s="18">
        <f>16390/1000</f>
        <v>16.39</v>
      </c>
      <c r="BT116" s="18">
        <f>57215/1000</f>
        <v>57.215000000000003</v>
      </c>
      <c r="BU116" s="18">
        <v>0</v>
      </c>
      <c r="BV116" s="18">
        <f t="shared" si="4"/>
        <v>241.494</v>
      </c>
      <c r="BW116" s="15">
        <f t="shared" si="3"/>
        <v>241.494</v>
      </c>
      <c r="BY116" s="18" t="s">
        <v>5134</v>
      </c>
      <c r="BZ116" s="18" t="s">
        <v>5688</v>
      </c>
      <c r="CD116" s="18" t="s">
        <v>5127</v>
      </c>
      <c r="CE116" s="18" t="s">
        <v>5127</v>
      </c>
      <c r="CF116" s="18" t="s">
        <v>5135</v>
      </c>
      <c r="CG116" s="18" t="s">
        <v>5550</v>
      </c>
      <c r="CH116" s="18" t="s">
        <v>5556</v>
      </c>
      <c r="CI116" s="18" t="s">
        <v>5195</v>
      </c>
      <c r="CJ116" s="18" t="s">
        <v>5196</v>
      </c>
      <c r="CK116" s="18" t="s">
        <v>5341</v>
      </c>
      <c r="CL116" s="18">
        <v>1</v>
      </c>
      <c r="CM116" s="18">
        <v>1</v>
      </c>
      <c r="CN116" s="18">
        <v>0</v>
      </c>
      <c r="CO116" s="18">
        <v>1</v>
      </c>
      <c r="CP116" s="18">
        <v>1</v>
      </c>
      <c r="CQ116" s="18">
        <v>1</v>
      </c>
      <c r="CR116" s="18" t="s">
        <v>5141</v>
      </c>
      <c r="CS116" s="18" t="s">
        <v>5141</v>
      </c>
      <c r="CT116" s="18">
        <v>1</v>
      </c>
      <c r="CU116" s="18">
        <v>1</v>
      </c>
      <c r="CV116" s="18">
        <v>1</v>
      </c>
      <c r="CX116" s="18">
        <v>1</v>
      </c>
      <c r="CY116" s="18">
        <v>1</v>
      </c>
      <c r="CZ116" s="18">
        <v>1</v>
      </c>
      <c r="DA116" s="18">
        <v>1</v>
      </c>
      <c r="DB116" s="18">
        <v>1</v>
      </c>
      <c r="DC116" s="18">
        <v>1</v>
      </c>
      <c r="DD116" s="18">
        <v>1</v>
      </c>
      <c r="DE116" s="18" t="s">
        <v>5141</v>
      </c>
      <c r="DF116" s="18" t="s">
        <v>5141</v>
      </c>
      <c r="DG116" s="18">
        <v>1</v>
      </c>
      <c r="DH116" s="18">
        <v>1</v>
      </c>
      <c r="DI116" s="18">
        <v>1</v>
      </c>
      <c r="DK116" s="18">
        <v>0</v>
      </c>
      <c r="DL116" s="18">
        <v>0</v>
      </c>
      <c r="DM116" s="18" t="s">
        <v>5127</v>
      </c>
      <c r="DN116" s="18" t="s">
        <v>5258</v>
      </c>
      <c r="DO116" s="18" t="s">
        <v>5665</v>
      </c>
      <c r="DP116" s="18" t="s">
        <v>106</v>
      </c>
      <c r="DS116" s="18">
        <v>0</v>
      </c>
      <c r="DT116" s="18">
        <v>1</v>
      </c>
      <c r="DU116" s="18">
        <v>1</v>
      </c>
      <c r="DV116" s="18" t="s">
        <v>5342</v>
      </c>
      <c r="DX116" s="18" t="s">
        <v>5201</v>
      </c>
      <c r="DY116" s="18" t="s">
        <v>106</v>
      </c>
      <c r="DZ116" s="18" t="s">
        <v>106</v>
      </c>
      <c r="EA116" s="18" t="s">
        <v>5175</v>
      </c>
      <c r="EB116" s="18">
        <v>241494</v>
      </c>
      <c r="EC116" s="18" t="s">
        <v>106</v>
      </c>
      <c r="ED116" s="18" t="s">
        <v>5176</v>
      </c>
      <c r="EE116" s="18" t="s">
        <v>106</v>
      </c>
      <c r="EF116" s="18" t="s">
        <v>106</v>
      </c>
      <c r="EH116" s="18" t="s">
        <v>5203</v>
      </c>
      <c r="EI116" s="18" t="s">
        <v>5204</v>
      </c>
      <c r="EJ116" s="18" t="s">
        <v>5245</v>
      </c>
      <c r="EN116" s="18" t="s">
        <v>106</v>
      </c>
      <c r="ER116" s="18" t="s">
        <v>5328</v>
      </c>
      <c r="ES116" s="18" t="s">
        <v>5733</v>
      </c>
      <c r="ET116" s="18" t="s">
        <v>5154</v>
      </c>
      <c r="EU116" s="18" t="s">
        <v>5155</v>
      </c>
      <c r="EV116" s="18" t="s">
        <v>5730</v>
      </c>
      <c r="EW116" s="18" t="s">
        <v>5247</v>
      </c>
      <c r="EX116" s="18" t="s">
        <v>5158</v>
      </c>
      <c r="EY116" s="18" t="s">
        <v>5159</v>
      </c>
      <c r="EZ116" s="18" t="s">
        <v>5182</v>
      </c>
      <c r="FA116" s="18" t="s">
        <v>144</v>
      </c>
      <c r="FB116" s="18" t="s">
        <v>5161</v>
      </c>
    </row>
    <row r="117" spans="1:158" ht="10.5" customHeight="1" x14ac:dyDescent="0.2">
      <c r="A117" s="16">
        <v>41</v>
      </c>
      <c r="B117" s="16" t="s">
        <v>1476</v>
      </c>
      <c r="C117" s="16" t="s">
        <v>108</v>
      </c>
      <c r="D117" s="16">
        <v>1829225</v>
      </c>
      <c r="E117" s="16" t="s">
        <v>6660</v>
      </c>
      <c r="F117" s="18" t="s">
        <v>108</v>
      </c>
      <c r="G117" s="18" t="s">
        <v>106</v>
      </c>
      <c r="H117" s="15" t="s">
        <v>5127</v>
      </c>
      <c r="I117" s="18">
        <v>16</v>
      </c>
      <c r="J117" s="18">
        <v>10</v>
      </c>
      <c r="K117" s="18">
        <v>6</v>
      </c>
      <c r="M117" s="18" t="s">
        <v>5183</v>
      </c>
      <c r="N117" s="18">
        <v>24001471</v>
      </c>
      <c r="O117" s="18">
        <v>46159</v>
      </c>
      <c r="T117" s="18" t="s">
        <v>5726</v>
      </c>
      <c r="U117" s="18" t="s">
        <v>5185</v>
      </c>
      <c r="V117" s="18" t="s">
        <v>106</v>
      </c>
      <c r="W117" s="18" t="s">
        <v>5124</v>
      </c>
      <c r="Y117" s="18" t="s">
        <v>5162</v>
      </c>
      <c r="Z117" s="18" t="s">
        <v>106</v>
      </c>
      <c r="AA117" s="18" t="s">
        <v>5267</v>
      </c>
      <c r="AB117" s="18" t="s">
        <v>179</v>
      </c>
      <c r="AC117" s="18" t="s">
        <v>5127</v>
      </c>
      <c r="AD117" s="18" t="s">
        <v>5127</v>
      </c>
      <c r="AE117" s="18" t="s">
        <v>5127</v>
      </c>
      <c r="AF117" s="18" t="s">
        <v>5127</v>
      </c>
      <c r="AG117" s="18" t="s">
        <v>5127</v>
      </c>
      <c r="AH117" s="18" t="s">
        <v>111</v>
      </c>
      <c r="AI117" s="18">
        <v>1</v>
      </c>
      <c r="AK117" s="18" t="s">
        <v>5164</v>
      </c>
      <c r="AN117" s="18">
        <v>1202850</v>
      </c>
      <c r="AO117" s="18" t="s">
        <v>5165</v>
      </c>
      <c r="AP117" s="18" t="s">
        <v>5734</v>
      </c>
      <c r="AQ117" s="18" t="s">
        <v>5311</v>
      </c>
      <c r="AR117" s="18" t="s">
        <v>5727</v>
      </c>
      <c r="AT117" s="17">
        <f>(365*D117*0.7)/1000</f>
        <v>467366.98749999999</v>
      </c>
      <c r="AU117" s="17">
        <f t="shared" si="2"/>
        <v>360.85500000000002</v>
      </c>
      <c r="AV117" s="18">
        <f>151210/1000</f>
        <v>151.21</v>
      </c>
      <c r="AW117" s="18">
        <f>209645/1000</f>
        <v>209.64500000000001</v>
      </c>
      <c r="AY117" s="18" t="s">
        <v>5728</v>
      </c>
      <c r="BG117" s="18" t="s">
        <v>5133</v>
      </c>
      <c r="BQ117" s="18">
        <f>362110/1000</f>
        <v>362.11</v>
      </c>
      <c r="BR117" s="18">
        <f>206455/1000</f>
        <v>206.45500000000001</v>
      </c>
      <c r="BS117" s="18">
        <f>51050/1000</f>
        <v>51.05</v>
      </c>
      <c r="BT117" s="18">
        <f>222380/1000</f>
        <v>222.38</v>
      </c>
      <c r="BU117" s="18">
        <v>0</v>
      </c>
      <c r="BV117" s="18">
        <f t="shared" si="4"/>
        <v>841.995</v>
      </c>
      <c r="BW117" s="15">
        <f t="shared" si="3"/>
        <v>841.995</v>
      </c>
      <c r="BY117" s="18" t="s">
        <v>5134</v>
      </c>
      <c r="BZ117" s="18" t="s">
        <v>5688</v>
      </c>
      <c r="CD117" s="18" t="s">
        <v>5127</v>
      </c>
      <c r="CE117" s="18" t="s">
        <v>5127</v>
      </c>
      <c r="CF117" s="18" t="s">
        <v>5135</v>
      </c>
      <c r="CG117" s="18" t="s">
        <v>5550</v>
      </c>
      <c r="CH117" s="18" t="s">
        <v>5556</v>
      </c>
      <c r="CI117" s="18" t="s">
        <v>5195</v>
      </c>
      <c r="CJ117" s="18" t="s">
        <v>5196</v>
      </c>
      <c r="CK117" s="18" t="s">
        <v>5341</v>
      </c>
      <c r="CL117" s="18">
        <v>0</v>
      </c>
      <c r="CM117" s="18">
        <v>1</v>
      </c>
      <c r="CN117" s="18">
        <v>0</v>
      </c>
      <c r="CO117" s="18">
        <v>1</v>
      </c>
      <c r="CP117" s="18">
        <v>0</v>
      </c>
      <c r="CQ117" s="18">
        <v>0</v>
      </c>
      <c r="CR117" s="18" t="s">
        <v>5141</v>
      </c>
      <c r="CS117" s="18" t="s">
        <v>5141</v>
      </c>
      <c r="CT117" s="18">
        <v>0</v>
      </c>
      <c r="CU117" s="18">
        <v>1</v>
      </c>
      <c r="CV117" s="18">
        <v>1</v>
      </c>
      <c r="CX117" s="18">
        <v>1</v>
      </c>
      <c r="CY117" s="18">
        <v>1</v>
      </c>
      <c r="CZ117" s="18">
        <v>1</v>
      </c>
      <c r="DA117" s="18">
        <v>1</v>
      </c>
      <c r="DB117" s="18">
        <v>1</v>
      </c>
      <c r="DC117" s="18">
        <v>1</v>
      </c>
      <c r="DD117" s="18">
        <v>1</v>
      </c>
      <c r="DE117" s="18" t="s">
        <v>5141</v>
      </c>
      <c r="DF117" s="18" t="s">
        <v>5141</v>
      </c>
      <c r="DG117" s="18" t="s">
        <v>5141</v>
      </c>
      <c r="DH117" s="18">
        <v>2</v>
      </c>
      <c r="DI117" s="18">
        <v>2</v>
      </c>
      <c r="DK117" s="18">
        <v>0</v>
      </c>
      <c r="DL117" s="18">
        <v>0</v>
      </c>
      <c r="DM117" s="18" t="s">
        <v>5127</v>
      </c>
      <c r="DN117" s="18" t="s">
        <v>5258</v>
      </c>
      <c r="DO117" s="18" t="s">
        <v>5665</v>
      </c>
      <c r="DP117" s="18" t="s">
        <v>106</v>
      </c>
      <c r="DS117" s="18">
        <v>0</v>
      </c>
      <c r="DT117" s="18">
        <v>1</v>
      </c>
      <c r="DU117" s="18">
        <v>1</v>
      </c>
      <c r="DV117" s="18" t="s">
        <v>5301</v>
      </c>
      <c r="DX117" s="18" t="s">
        <v>5222</v>
      </c>
      <c r="DY117" s="18" t="s">
        <v>106</v>
      </c>
      <c r="DZ117" s="18" t="s">
        <v>106</v>
      </c>
      <c r="EA117" s="18" t="s">
        <v>5175</v>
      </c>
      <c r="EB117" s="18">
        <v>841995</v>
      </c>
      <c r="EC117" s="18" t="s">
        <v>106</v>
      </c>
      <c r="ED117" s="18" t="s">
        <v>5176</v>
      </c>
      <c r="EE117" s="18" t="s">
        <v>106</v>
      </c>
      <c r="EF117" s="18" t="s">
        <v>106</v>
      </c>
      <c r="EH117" s="18" t="s">
        <v>5203</v>
      </c>
      <c r="EI117" s="18" t="s">
        <v>5204</v>
      </c>
      <c r="EJ117" s="18" t="s">
        <v>5245</v>
      </c>
      <c r="EN117" s="18" t="s">
        <v>106</v>
      </c>
      <c r="EO117" s="18" t="s">
        <v>113</v>
      </c>
      <c r="EP117" s="18" t="s">
        <v>113</v>
      </c>
      <c r="EQ117" s="18" t="s">
        <v>113</v>
      </c>
      <c r="ER117" s="18" t="s">
        <v>5152</v>
      </c>
      <c r="ES117" s="18" t="s">
        <v>5153</v>
      </c>
      <c r="ET117" s="18" t="s">
        <v>5154</v>
      </c>
      <c r="EU117" s="18" t="s">
        <v>5155</v>
      </c>
      <c r="EV117" s="18" t="s">
        <v>5730</v>
      </c>
      <c r="EW117" s="18" t="s">
        <v>5247</v>
      </c>
      <c r="EX117" s="18" t="s">
        <v>5158</v>
      </c>
      <c r="EY117" s="18" t="s">
        <v>5159</v>
      </c>
      <c r="EZ117" s="18" t="s">
        <v>5182</v>
      </c>
      <c r="FA117" s="18" t="s">
        <v>144</v>
      </c>
      <c r="FB117" s="18" t="s">
        <v>5161</v>
      </c>
    </row>
    <row r="118" spans="1:158" ht="10.5" customHeight="1" x14ac:dyDescent="0.2">
      <c r="A118" s="16">
        <v>41</v>
      </c>
      <c r="B118" s="16" t="s">
        <v>1476</v>
      </c>
      <c r="C118" s="16" t="s">
        <v>108</v>
      </c>
      <c r="D118" s="16">
        <v>1829225</v>
      </c>
      <c r="E118" s="16" t="s">
        <v>6660</v>
      </c>
      <c r="F118" s="18" t="s">
        <v>108</v>
      </c>
      <c r="G118" s="18" t="s">
        <v>106</v>
      </c>
      <c r="H118" s="15" t="s">
        <v>5127</v>
      </c>
      <c r="I118" s="18">
        <v>26</v>
      </c>
      <c r="J118" s="18">
        <v>19</v>
      </c>
      <c r="K118" s="18">
        <v>7</v>
      </c>
      <c r="M118" s="18" t="s">
        <v>5183</v>
      </c>
      <c r="N118" s="18">
        <v>23002572</v>
      </c>
      <c r="O118" s="18">
        <v>45863</v>
      </c>
      <c r="T118" s="18" t="s">
        <v>5382</v>
      </c>
      <c r="U118" s="18" t="s">
        <v>5185</v>
      </c>
      <c r="V118" s="18" t="s">
        <v>106</v>
      </c>
      <c r="W118" s="18" t="s">
        <v>5124</v>
      </c>
      <c r="Y118" s="18" t="s">
        <v>5162</v>
      </c>
      <c r="Z118" s="18" t="s">
        <v>106</v>
      </c>
      <c r="AA118" s="18" t="s">
        <v>5163</v>
      </c>
      <c r="AB118" s="18" t="s">
        <v>5233</v>
      </c>
      <c r="AC118" s="18" t="s">
        <v>5127</v>
      </c>
      <c r="AD118" s="18" t="s">
        <v>5127</v>
      </c>
      <c r="AE118" s="18" t="s">
        <v>5127</v>
      </c>
      <c r="AF118" s="18" t="s">
        <v>5127</v>
      </c>
      <c r="AG118" s="18" t="s">
        <v>5127</v>
      </c>
      <c r="AH118" s="18" t="s">
        <v>5127</v>
      </c>
      <c r="AI118" s="18">
        <v>2</v>
      </c>
      <c r="AK118" s="18" t="s">
        <v>5164</v>
      </c>
      <c r="AN118" s="18">
        <v>567933</v>
      </c>
      <c r="AO118" s="18" t="s">
        <v>5165</v>
      </c>
      <c r="AP118" s="18" t="s">
        <v>5734</v>
      </c>
      <c r="AQ118" s="18" t="s">
        <v>5311</v>
      </c>
      <c r="AR118" s="18" t="s">
        <v>5727</v>
      </c>
      <c r="AT118" s="17">
        <f>(365*D118*0.7)/1000</f>
        <v>467366.98749999999</v>
      </c>
      <c r="AU118" s="17">
        <f t="shared" si="2"/>
        <v>170.38</v>
      </c>
      <c r="AV118" s="18">
        <f>63622/1000</f>
        <v>63.622</v>
      </c>
      <c r="AW118" s="18">
        <f>106758/1000</f>
        <v>106.758</v>
      </c>
      <c r="AY118" s="18" t="s">
        <v>5728</v>
      </c>
      <c r="BG118" s="18" t="s">
        <v>5133</v>
      </c>
      <c r="BQ118" s="18">
        <f>175017/1000</f>
        <v>175.017</v>
      </c>
      <c r="BR118" s="18">
        <f>155335/1000</f>
        <v>155.33500000000001</v>
      </c>
      <c r="BS118" s="18">
        <f>15876/1000</f>
        <v>15.875999999999999</v>
      </c>
      <c r="BT118" s="18">
        <f>51325/1000</f>
        <v>51.325000000000003</v>
      </c>
      <c r="BU118" s="18">
        <v>0</v>
      </c>
      <c r="BV118" s="18">
        <f t="shared" si="4"/>
        <v>397.55299999999994</v>
      </c>
      <c r="BW118" s="15">
        <f t="shared" si="3"/>
        <v>397.55299999999994</v>
      </c>
      <c r="BY118" s="18" t="s">
        <v>5134</v>
      </c>
      <c r="BZ118" s="18" t="s">
        <v>5688</v>
      </c>
      <c r="CD118" s="18" t="s">
        <v>5127</v>
      </c>
      <c r="CE118" s="18" t="s">
        <v>5127</v>
      </c>
      <c r="CF118" s="18" t="s">
        <v>5282</v>
      </c>
      <c r="CG118" s="18" t="s">
        <v>5550</v>
      </c>
      <c r="CH118" s="18" t="s">
        <v>5556</v>
      </c>
      <c r="CI118" s="18" t="s">
        <v>5195</v>
      </c>
      <c r="CJ118" s="18" t="s">
        <v>5196</v>
      </c>
      <c r="CK118" s="18" t="s">
        <v>5341</v>
      </c>
      <c r="CL118" s="18">
        <v>1</v>
      </c>
      <c r="CM118" s="18">
        <v>1</v>
      </c>
      <c r="CN118" s="18">
        <v>0</v>
      </c>
      <c r="CO118" s="18">
        <v>1</v>
      </c>
      <c r="CP118" s="18">
        <v>1</v>
      </c>
      <c r="CQ118" s="18">
        <v>0</v>
      </c>
      <c r="CR118" s="18" t="s">
        <v>5141</v>
      </c>
      <c r="CS118" s="18" t="s">
        <v>5141</v>
      </c>
      <c r="CT118" s="18">
        <v>0</v>
      </c>
      <c r="CU118" s="18">
        <v>1</v>
      </c>
      <c r="CV118" s="18">
        <v>1</v>
      </c>
      <c r="CX118" s="18">
        <v>1</v>
      </c>
      <c r="CY118" s="18">
        <v>1</v>
      </c>
      <c r="CZ118" s="18">
        <v>1</v>
      </c>
      <c r="DA118" s="18">
        <v>1</v>
      </c>
      <c r="DB118" s="18">
        <v>1</v>
      </c>
      <c r="DC118" s="18">
        <v>1</v>
      </c>
      <c r="DD118" s="18">
        <v>1</v>
      </c>
      <c r="DE118" s="18" t="s">
        <v>5141</v>
      </c>
      <c r="DF118" s="18" t="s">
        <v>5141</v>
      </c>
      <c r="DG118" s="18">
        <v>1</v>
      </c>
      <c r="DH118" s="18">
        <v>1</v>
      </c>
      <c r="DI118" s="18">
        <v>1</v>
      </c>
      <c r="DK118" s="18">
        <v>0</v>
      </c>
      <c r="DL118" s="18">
        <v>0</v>
      </c>
      <c r="DM118" s="18" t="s">
        <v>5127</v>
      </c>
      <c r="DN118" s="18" t="s">
        <v>5258</v>
      </c>
      <c r="DO118" s="18" t="s">
        <v>5665</v>
      </c>
      <c r="DP118" s="18" t="s">
        <v>106</v>
      </c>
      <c r="DS118" s="18">
        <v>0</v>
      </c>
      <c r="DT118" s="18">
        <v>1</v>
      </c>
      <c r="DU118" s="18">
        <v>1</v>
      </c>
      <c r="DV118" s="18" t="s">
        <v>5342</v>
      </c>
      <c r="DX118" s="18" t="s">
        <v>5222</v>
      </c>
      <c r="DY118" s="18" t="s">
        <v>106</v>
      </c>
      <c r="DZ118" s="18" t="s">
        <v>106</v>
      </c>
      <c r="EA118" s="18" t="s">
        <v>5175</v>
      </c>
      <c r="EB118" s="18">
        <v>397553</v>
      </c>
      <c r="EC118" s="18" t="s">
        <v>106</v>
      </c>
      <c r="ED118" s="18" t="s">
        <v>5176</v>
      </c>
      <c r="EE118" s="18" t="s">
        <v>106</v>
      </c>
      <c r="EF118" s="18" t="s">
        <v>106</v>
      </c>
      <c r="EH118" s="18" t="s">
        <v>5203</v>
      </c>
      <c r="EI118" s="18" t="s">
        <v>5204</v>
      </c>
      <c r="EJ118" s="18" t="s">
        <v>5245</v>
      </c>
      <c r="EN118" s="18" t="s">
        <v>106</v>
      </c>
      <c r="EO118" s="18" t="s">
        <v>113</v>
      </c>
      <c r="EP118" s="18" t="s">
        <v>113</v>
      </c>
      <c r="EQ118" s="18" t="s">
        <v>113</v>
      </c>
      <c r="ER118" s="18" t="s">
        <v>5328</v>
      </c>
      <c r="ES118" s="18" t="s">
        <v>5498</v>
      </c>
      <c r="ET118" s="18" t="s">
        <v>5154</v>
      </c>
      <c r="EU118" s="18" t="s">
        <v>5155</v>
      </c>
      <c r="EV118" s="18" t="s">
        <v>5730</v>
      </c>
      <c r="EW118" s="18" t="s">
        <v>5247</v>
      </c>
      <c r="EX118" s="18" t="s">
        <v>5158</v>
      </c>
      <c r="EY118" s="18" t="s">
        <v>5181</v>
      </c>
      <c r="EZ118" s="18" t="s">
        <v>5182</v>
      </c>
      <c r="FA118" s="18" t="s">
        <v>144</v>
      </c>
      <c r="FB118" s="18" t="s">
        <v>5161</v>
      </c>
    </row>
    <row r="119" spans="1:158" ht="10.5" customHeight="1" x14ac:dyDescent="0.2">
      <c r="A119" s="16">
        <v>41</v>
      </c>
      <c r="B119" s="16" t="s">
        <v>1476</v>
      </c>
      <c r="C119" s="16" t="s">
        <v>108</v>
      </c>
      <c r="D119" s="16">
        <v>1829225</v>
      </c>
      <c r="E119" s="16" t="s">
        <v>6660</v>
      </c>
      <c r="F119" s="18" t="s">
        <v>108</v>
      </c>
      <c r="G119" s="18" t="s">
        <v>106</v>
      </c>
      <c r="H119" s="15" t="s">
        <v>5127</v>
      </c>
      <c r="I119" s="18">
        <v>11</v>
      </c>
      <c r="J119" s="18">
        <v>9</v>
      </c>
      <c r="K119" s="18">
        <v>2</v>
      </c>
      <c r="M119" s="18" t="s">
        <v>5121</v>
      </c>
      <c r="N119" s="18">
        <v>24001377</v>
      </c>
      <c r="O119" s="18">
        <v>46142</v>
      </c>
      <c r="T119" s="18" t="s">
        <v>5240</v>
      </c>
      <c r="U119" s="18" t="s">
        <v>5185</v>
      </c>
      <c r="V119" s="18" t="s">
        <v>106</v>
      </c>
      <c r="W119" s="18" t="s">
        <v>5124</v>
      </c>
      <c r="Y119" s="18" t="s">
        <v>5162</v>
      </c>
      <c r="Z119" s="18" t="s">
        <v>106</v>
      </c>
      <c r="AA119" s="18" t="s">
        <v>5267</v>
      </c>
      <c r="AB119" s="18" t="s">
        <v>179</v>
      </c>
      <c r="AC119" s="18" t="s">
        <v>5127</v>
      </c>
      <c r="AD119" s="18" t="s">
        <v>5127</v>
      </c>
      <c r="AE119" s="18" t="s">
        <v>5127</v>
      </c>
      <c r="AF119" s="18" t="s">
        <v>5127</v>
      </c>
      <c r="AG119" s="18" t="s">
        <v>5127</v>
      </c>
      <c r="AH119" s="18" t="s">
        <v>111</v>
      </c>
      <c r="AI119" s="18">
        <v>0</v>
      </c>
      <c r="AK119" s="18" t="s">
        <v>5164</v>
      </c>
      <c r="AN119" s="18">
        <v>382051</v>
      </c>
      <c r="AO119" s="18" t="s">
        <v>5129</v>
      </c>
      <c r="AP119" s="18" t="s">
        <v>5456</v>
      </c>
      <c r="AQ119" s="18" t="s">
        <v>5311</v>
      </c>
      <c r="AR119" s="18" t="s">
        <v>5727</v>
      </c>
      <c r="AT119" s="17">
        <f>(365*D119*0.7)/1000</f>
        <v>467366.98749999999</v>
      </c>
      <c r="AU119" s="17">
        <f t="shared" si="2"/>
        <v>114.61499999999999</v>
      </c>
      <c r="AV119" s="18">
        <f>26399/1000</f>
        <v>26.399000000000001</v>
      </c>
      <c r="AW119" s="18">
        <f>88216/1000</f>
        <v>88.215999999999994</v>
      </c>
      <c r="AY119" s="18" t="s">
        <v>5728</v>
      </c>
      <c r="BG119" s="18" t="s">
        <v>5133</v>
      </c>
      <c r="BQ119" s="18">
        <f>104938/1000</f>
        <v>104.938</v>
      </c>
      <c r="BR119" s="18">
        <f>49698/1000</f>
        <v>49.698</v>
      </c>
      <c r="BS119" s="18">
        <f>36280/1000</f>
        <v>36.28</v>
      </c>
      <c r="BT119" s="18">
        <f>76520/1000</f>
        <v>76.52</v>
      </c>
      <c r="BU119" s="18">
        <v>0</v>
      </c>
      <c r="BV119" s="18">
        <f t="shared" si="4"/>
        <v>267.43599999999998</v>
      </c>
      <c r="BW119" s="15">
        <f t="shared" si="3"/>
        <v>267.43599999999998</v>
      </c>
      <c r="BY119" s="18" t="s">
        <v>5134</v>
      </c>
      <c r="BZ119" s="18" t="s">
        <v>5688</v>
      </c>
      <c r="CD119" s="18" t="s">
        <v>5127</v>
      </c>
      <c r="CE119" s="18" t="s">
        <v>5127</v>
      </c>
      <c r="CF119" s="18" t="s">
        <v>5135</v>
      </c>
      <c r="CG119" s="18" t="s">
        <v>5550</v>
      </c>
      <c r="CH119" s="18" t="s">
        <v>5556</v>
      </c>
      <c r="CI119" s="18" t="s">
        <v>5195</v>
      </c>
      <c r="CJ119" s="18" t="s">
        <v>5196</v>
      </c>
      <c r="CK119" s="18" t="s">
        <v>5341</v>
      </c>
      <c r="CL119" s="18">
        <v>0</v>
      </c>
      <c r="CM119" s="18">
        <v>1</v>
      </c>
      <c r="CN119" s="18">
        <v>0</v>
      </c>
      <c r="CO119" s="18">
        <v>1</v>
      </c>
      <c r="CP119" s="18">
        <v>0</v>
      </c>
      <c r="CQ119" s="18">
        <v>1</v>
      </c>
      <c r="CR119" s="18" t="s">
        <v>5141</v>
      </c>
      <c r="CS119" s="18" t="s">
        <v>5141</v>
      </c>
      <c r="CT119" s="18">
        <v>1</v>
      </c>
      <c r="CU119" s="18">
        <v>1</v>
      </c>
      <c r="CV119" s="18">
        <v>1</v>
      </c>
      <c r="CX119" s="18">
        <v>1</v>
      </c>
      <c r="CY119" s="18">
        <v>1</v>
      </c>
      <c r="CZ119" s="18">
        <v>1</v>
      </c>
      <c r="DA119" s="18">
        <v>0</v>
      </c>
      <c r="DB119" s="18">
        <v>1</v>
      </c>
      <c r="DC119" s="18">
        <v>1</v>
      </c>
      <c r="DD119" s="18">
        <v>1</v>
      </c>
      <c r="DE119" s="18" t="s">
        <v>5735</v>
      </c>
      <c r="DF119" s="18" t="s">
        <v>5141</v>
      </c>
      <c r="DG119" s="18" t="s">
        <v>5141</v>
      </c>
      <c r="DH119" s="18">
        <v>1</v>
      </c>
      <c r="DI119" s="18">
        <v>1</v>
      </c>
      <c r="DK119" s="18">
        <v>0</v>
      </c>
      <c r="DL119" s="18">
        <v>0</v>
      </c>
      <c r="DM119" s="18" t="s">
        <v>5127</v>
      </c>
      <c r="DN119" s="18" t="s">
        <v>5198</v>
      </c>
      <c r="DO119" s="18" t="s">
        <v>5665</v>
      </c>
      <c r="DP119" s="18" t="s">
        <v>106</v>
      </c>
      <c r="DS119" s="18">
        <v>0</v>
      </c>
      <c r="DT119" s="18">
        <v>1</v>
      </c>
      <c r="DU119" s="18">
        <v>1</v>
      </c>
      <c r="DV119" s="18" t="s">
        <v>5342</v>
      </c>
      <c r="DX119" s="18" t="s">
        <v>5222</v>
      </c>
      <c r="DY119" s="18" t="s">
        <v>106</v>
      </c>
      <c r="DZ119" s="18" t="s">
        <v>106</v>
      </c>
      <c r="EA119" s="18" t="s">
        <v>5175</v>
      </c>
      <c r="EB119" s="18">
        <v>267436</v>
      </c>
      <c r="EC119" s="18" t="s">
        <v>106</v>
      </c>
      <c r="ED119" s="18" t="s">
        <v>5176</v>
      </c>
      <c r="EE119" s="18" t="s">
        <v>106</v>
      </c>
      <c r="EF119" s="18" t="s">
        <v>106</v>
      </c>
      <c r="EH119" s="18" t="s">
        <v>5203</v>
      </c>
      <c r="EI119" s="18" t="s">
        <v>5204</v>
      </c>
      <c r="EJ119" s="18" t="s">
        <v>5245</v>
      </c>
      <c r="EN119" s="18" t="s">
        <v>113</v>
      </c>
      <c r="EO119" s="18" t="s">
        <v>113</v>
      </c>
      <c r="EP119" s="18" t="s">
        <v>113</v>
      </c>
      <c r="EQ119" s="18" t="s">
        <v>113</v>
      </c>
      <c r="ER119" s="18" t="s">
        <v>5289</v>
      </c>
      <c r="ES119" s="18" t="s">
        <v>5317</v>
      </c>
      <c r="ET119" s="18" t="s">
        <v>5154</v>
      </c>
      <c r="EU119" s="18" t="s">
        <v>5155</v>
      </c>
      <c r="EV119" s="18" t="s">
        <v>5730</v>
      </c>
      <c r="EW119" s="18" t="s">
        <v>5247</v>
      </c>
      <c r="EX119" s="18" t="s">
        <v>5158</v>
      </c>
      <c r="EY119" s="18" t="s">
        <v>5159</v>
      </c>
      <c r="EZ119" s="18" t="s">
        <v>5182</v>
      </c>
      <c r="FA119" s="18" t="s">
        <v>144</v>
      </c>
      <c r="FB119" s="18" t="s">
        <v>5161</v>
      </c>
    </row>
    <row r="120" spans="1:158" ht="10.5" customHeight="1" x14ac:dyDescent="0.2">
      <c r="A120" s="16">
        <v>41</v>
      </c>
      <c r="B120" s="16" t="s">
        <v>1476</v>
      </c>
      <c r="C120" s="16" t="s">
        <v>108</v>
      </c>
      <c r="D120" s="16">
        <v>1829225</v>
      </c>
      <c r="E120" s="16" t="s">
        <v>6660</v>
      </c>
      <c r="F120" s="18" t="s">
        <v>108</v>
      </c>
      <c r="G120" s="18" t="s">
        <v>106</v>
      </c>
      <c r="H120" s="15" t="s">
        <v>5127</v>
      </c>
      <c r="I120" s="18">
        <v>11</v>
      </c>
      <c r="J120" s="18">
        <v>10</v>
      </c>
      <c r="K120" s="18">
        <v>1</v>
      </c>
      <c r="M120" s="18" t="s">
        <v>5183</v>
      </c>
      <c r="N120" s="18">
        <v>24001449</v>
      </c>
      <c r="O120" s="18">
        <v>46158</v>
      </c>
      <c r="T120" s="18" t="s">
        <v>5726</v>
      </c>
      <c r="U120" s="18" t="s">
        <v>5185</v>
      </c>
      <c r="V120" s="18" t="s">
        <v>106</v>
      </c>
      <c r="W120" s="18" t="s">
        <v>5124</v>
      </c>
      <c r="Y120" s="18" t="s">
        <v>5574</v>
      </c>
      <c r="Z120" s="18" t="s">
        <v>106</v>
      </c>
      <c r="AA120" s="18" t="s">
        <v>5163</v>
      </c>
      <c r="AB120" s="18" t="s">
        <v>5233</v>
      </c>
      <c r="AC120" s="18" t="s">
        <v>5127</v>
      </c>
      <c r="AD120" s="18" t="s">
        <v>5127</v>
      </c>
      <c r="AE120" s="18" t="s">
        <v>5127</v>
      </c>
      <c r="AF120" s="18" t="s">
        <v>5127</v>
      </c>
      <c r="AG120" s="18" t="s">
        <v>5127</v>
      </c>
      <c r="AH120" s="18" t="s">
        <v>5127</v>
      </c>
      <c r="AI120" s="18">
        <v>1</v>
      </c>
      <c r="AK120" s="18" t="s">
        <v>5164</v>
      </c>
      <c r="AN120" s="18">
        <v>557700</v>
      </c>
      <c r="AO120" s="18" t="s">
        <v>5165</v>
      </c>
      <c r="AP120" s="18" t="s">
        <v>5456</v>
      </c>
      <c r="AQ120" s="18" t="s">
        <v>5311</v>
      </c>
      <c r="AR120" s="18" t="s">
        <v>5168</v>
      </c>
      <c r="AT120" s="17">
        <f>(365*D120*0.7)/1000</f>
        <v>467366.98749999999</v>
      </c>
      <c r="AU120" s="17">
        <f t="shared" si="2"/>
        <v>167.31</v>
      </c>
      <c r="AV120" s="18">
        <f>93678/1000</f>
        <v>93.677999999999997</v>
      </c>
      <c r="AW120" s="18">
        <f>73632/1000</f>
        <v>73.632000000000005</v>
      </c>
      <c r="AY120" s="18" t="s">
        <v>5728</v>
      </c>
      <c r="BG120" s="18" t="s">
        <v>5133</v>
      </c>
      <c r="BQ120" s="18">
        <f>198400/1000</f>
        <v>198.4</v>
      </c>
      <c r="BR120" s="18">
        <f>72420/1000</f>
        <v>72.42</v>
      </c>
      <c r="BS120" s="18">
        <f>29230/1000</f>
        <v>29.23</v>
      </c>
      <c r="BT120" s="18">
        <f>90340/1000</f>
        <v>90.34</v>
      </c>
      <c r="BU120" s="18">
        <v>0</v>
      </c>
      <c r="BV120" s="18">
        <f t="shared" si="4"/>
        <v>390.39</v>
      </c>
      <c r="BW120" s="15">
        <f t="shared" si="3"/>
        <v>390.39</v>
      </c>
      <c r="BY120" s="18" t="s">
        <v>5134</v>
      </c>
      <c r="BZ120" s="18" t="s">
        <v>5688</v>
      </c>
      <c r="CD120" s="18" t="s">
        <v>5127</v>
      </c>
      <c r="CE120" s="18" t="s">
        <v>5127</v>
      </c>
      <c r="CF120" s="18" t="s">
        <v>5282</v>
      </c>
      <c r="CG120" s="18" t="s">
        <v>5550</v>
      </c>
      <c r="CH120" s="18" t="s">
        <v>5556</v>
      </c>
      <c r="CI120" s="18" t="s">
        <v>5195</v>
      </c>
      <c r="CJ120" s="18" t="s">
        <v>5196</v>
      </c>
      <c r="CK120" s="18" t="s">
        <v>5341</v>
      </c>
      <c r="CL120" s="18">
        <v>0</v>
      </c>
      <c r="CM120" s="18">
        <v>1</v>
      </c>
      <c r="CN120" s="18">
        <v>0</v>
      </c>
      <c r="CO120" s="18">
        <v>1</v>
      </c>
      <c r="CP120" s="18">
        <v>0</v>
      </c>
      <c r="CQ120" s="18">
        <v>1</v>
      </c>
      <c r="CR120" s="18" t="s">
        <v>5141</v>
      </c>
      <c r="CS120" s="18" t="s">
        <v>5141</v>
      </c>
      <c r="CT120" s="18">
        <v>1</v>
      </c>
      <c r="CU120" s="18">
        <v>1</v>
      </c>
      <c r="CV120" s="18">
        <v>1</v>
      </c>
      <c r="CX120" s="18">
        <v>1</v>
      </c>
      <c r="CY120" s="18">
        <v>1</v>
      </c>
      <c r="CZ120" s="18">
        <v>1</v>
      </c>
      <c r="DA120" s="18">
        <v>1</v>
      </c>
      <c r="DB120" s="18">
        <v>1</v>
      </c>
      <c r="DC120" s="18">
        <v>1</v>
      </c>
      <c r="DD120" s="18">
        <v>1</v>
      </c>
      <c r="DE120" s="18" t="s">
        <v>5141</v>
      </c>
      <c r="DF120" s="18" t="s">
        <v>5141</v>
      </c>
      <c r="DG120" s="18">
        <v>1</v>
      </c>
      <c r="DH120" s="18">
        <v>1</v>
      </c>
      <c r="DI120" s="18">
        <v>1</v>
      </c>
      <c r="DK120" s="18">
        <v>0</v>
      </c>
      <c r="DL120" s="18">
        <v>0</v>
      </c>
      <c r="DM120" s="18" t="s">
        <v>5127</v>
      </c>
      <c r="DN120" s="18" t="s">
        <v>5198</v>
      </c>
      <c r="DO120" s="18" t="s">
        <v>5665</v>
      </c>
      <c r="DP120" s="18" t="s">
        <v>106</v>
      </c>
      <c r="DS120" s="18">
        <v>0</v>
      </c>
      <c r="DT120" s="18">
        <v>1</v>
      </c>
      <c r="DU120" s="18">
        <v>1</v>
      </c>
      <c r="DV120" s="18" t="s">
        <v>5342</v>
      </c>
      <c r="DX120" s="18" t="s">
        <v>5222</v>
      </c>
      <c r="DY120" s="18" t="s">
        <v>106</v>
      </c>
      <c r="DZ120" s="18" t="s">
        <v>106</v>
      </c>
      <c r="EA120" s="18" t="s">
        <v>5175</v>
      </c>
      <c r="EB120" s="18">
        <v>390390</v>
      </c>
      <c r="EC120" s="18" t="s">
        <v>106</v>
      </c>
      <c r="ED120" s="18" t="s">
        <v>5176</v>
      </c>
      <c r="EE120" s="18" t="s">
        <v>106</v>
      </c>
      <c r="EF120" s="18" t="s">
        <v>106</v>
      </c>
      <c r="EH120" s="18" t="s">
        <v>5203</v>
      </c>
      <c r="EI120" s="18" t="s">
        <v>5204</v>
      </c>
      <c r="EJ120" s="18" t="s">
        <v>5245</v>
      </c>
      <c r="EN120" s="18" t="s">
        <v>106</v>
      </c>
      <c r="EO120" s="18" t="s">
        <v>113</v>
      </c>
      <c r="EP120" s="18" t="s">
        <v>113</v>
      </c>
      <c r="EQ120" s="18" t="s">
        <v>113</v>
      </c>
      <c r="ER120" s="18" t="s">
        <v>5289</v>
      </c>
      <c r="ES120" s="18" t="s">
        <v>5736</v>
      </c>
      <c r="ET120" s="18" t="s">
        <v>5154</v>
      </c>
      <c r="EU120" s="18" t="s">
        <v>5155</v>
      </c>
      <c r="EV120" s="18" t="s">
        <v>5730</v>
      </c>
      <c r="EW120" s="18" t="s">
        <v>5614</v>
      </c>
      <c r="EX120" s="18" t="s">
        <v>5158</v>
      </c>
      <c r="EY120" s="18" t="s">
        <v>5181</v>
      </c>
      <c r="EZ120" s="18" t="s">
        <v>5182</v>
      </c>
      <c r="FA120" s="18" t="s">
        <v>144</v>
      </c>
      <c r="FB120" s="18" t="s">
        <v>5161</v>
      </c>
    </row>
    <row r="121" spans="1:158" ht="10.5" customHeight="1" x14ac:dyDescent="0.2">
      <c r="A121" s="16">
        <v>41</v>
      </c>
      <c r="B121" s="16" t="s">
        <v>1476</v>
      </c>
      <c r="C121" s="16" t="s">
        <v>108</v>
      </c>
      <c r="D121" s="16">
        <v>1829225</v>
      </c>
      <c r="E121" s="16" t="s">
        <v>6660</v>
      </c>
      <c r="F121" s="18" t="s">
        <v>108</v>
      </c>
      <c r="G121" s="18" t="s">
        <v>106</v>
      </c>
      <c r="H121" s="15" t="s">
        <v>5127</v>
      </c>
      <c r="I121" s="18">
        <v>14</v>
      </c>
      <c r="J121" s="18">
        <v>6</v>
      </c>
      <c r="K121" s="18">
        <v>8</v>
      </c>
      <c r="M121" s="18" t="s">
        <v>5183</v>
      </c>
      <c r="N121" s="18">
        <v>23003164</v>
      </c>
      <c r="O121" s="18">
        <v>46142</v>
      </c>
      <c r="T121" s="18" t="s">
        <v>111</v>
      </c>
      <c r="U121" s="18" t="s">
        <v>5185</v>
      </c>
      <c r="V121" s="18" t="s">
        <v>106</v>
      </c>
      <c r="W121" s="18" t="s">
        <v>5124</v>
      </c>
      <c r="Y121" s="18" t="s">
        <v>5162</v>
      </c>
      <c r="Z121" s="18" t="s">
        <v>106</v>
      </c>
      <c r="AA121" s="18" t="s">
        <v>5267</v>
      </c>
      <c r="AB121" s="18" t="s">
        <v>179</v>
      </c>
      <c r="AC121" s="18" t="s">
        <v>5127</v>
      </c>
      <c r="AD121" s="18" t="s">
        <v>5127</v>
      </c>
      <c r="AE121" s="18" t="s">
        <v>5127</v>
      </c>
      <c r="AF121" s="18" t="s">
        <v>111</v>
      </c>
      <c r="AG121" s="18" t="s">
        <v>5127</v>
      </c>
      <c r="AH121" s="18" t="s">
        <v>111</v>
      </c>
      <c r="AI121" s="18">
        <v>1</v>
      </c>
      <c r="AK121" s="18" t="s">
        <v>5164</v>
      </c>
      <c r="AN121" s="18">
        <v>557270</v>
      </c>
      <c r="AO121" s="18" t="s">
        <v>5165</v>
      </c>
      <c r="AP121" s="18" t="s">
        <v>5456</v>
      </c>
      <c r="AQ121" s="18" t="s">
        <v>5311</v>
      </c>
      <c r="AR121" s="18" t="s">
        <v>5727</v>
      </c>
      <c r="AT121" s="17">
        <f>(365*D121*0.7)/1000</f>
        <v>467366.98749999999</v>
      </c>
      <c r="AU121" s="17">
        <f t="shared" si="2"/>
        <v>167.18099999999998</v>
      </c>
      <c r="AV121" s="18">
        <f>80389/1000</f>
        <v>80.388999999999996</v>
      </c>
      <c r="AW121" s="18">
        <f>86792/1000</f>
        <v>86.792000000000002</v>
      </c>
      <c r="AY121" s="18" t="s">
        <v>5728</v>
      </c>
      <c r="BG121" s="18" t="s">
        <v>5133</v>
      </c>
      <c r="BQ121" s="18">
        <f>207380/1000</f>
        <v>207.38</v>
      </c>
      <c r="BR121" s="18">
        <f>94416/1000</f>
        <v>94.415999999999997</v>
      </c>
      <c r="BS121" s="18">
        <f>29893/1000</f>
        <v>29.893000000000001</v>
      </c>
      <c r="BT121" s="18">
        <f>58400/1000</f>
        <v>58.4</v>
      </c>
      <c r="BU121" s="18">
        <v>0</v>
      </c>
      <c r="BV121" s="18">
        <f t="shared" si="4"/>
        <v>390.08899999999994</v>
      </c>
      <c r="BW121" s="15">
        <f t="shared" si="3"/>
        <v>390.08899999999994</v>
      </c>
      <c r="BY121" s="18" t="s">
        <v>5134</v>
      </c>
      <c r="BZ121" s="18" t="s">
        <v>5688</v>
      </c>
      <c r="CD121" s="18" t="s">
        <v>5127</v>
      </c>
      <c r="CE121" s="18" t="s">
        <v>5127</v>
      </c>
      <c r="CF121" s="18" t="s">
        <v>5135</v>
      </c>
      <c r="CG121" s="18" t="s">
        <v>5550</v>
      </c>
      <c r="CH121" s="18" t="s">
        <v>5556</v>
      </c>
      <c r="CI121" s="18" t="s">
        <v>5195</v>
      </c>
      <c r="CJ121" s="18" t="s">
        <v>5196</v>
      </c>
      <c r="CK121" s="18" t="s">
        <v>5341</v>
      </c>
      <c r="CL121" s="18">
        <v>0</v>
      </c>
      <c r="CM121" s="18">
        <v>1</v>
      </c>
      <c r="CN121" s="18">
        <v>0</v>
      </c>
      <c r="CO121" s="18">
        <v>1</v>
      </c>
      <c r="CP121" s="18">
        <v>1</v>
      </c>
      <c r="CQ121" s="18">
        <v>1</v>
      </c>
      <c r="CR121" s="18" t="s">
        <v>5141</v>
      </c>
      <c r="CS121" s="18" t="s">
        <v>5141</v>
      </c>
      <c r="CT121" s="18">
        <v>1</v>
      </c>
      <c r="CU121" s="18">
        <v>1</v>
      </c>
      <c r="CV121" s="18">
        <v>1</v>
      </c>
      <c r="CX121" s="18">
        <v>0</v>
      </c>
      <c r="CY121" s="18">
        <v>1</v>
      </c>
      <c r="CZ121" s="18">
        <v>0</v>
      </c>
      <c r="DA121" s="18">
        <v>1</v>
      </c>
      <c r="DB121" s="18">
        <v>1</v>
      </c>
      <c r="DC121" s="18">
        <v>1</v>
      </c>
      <c r="DD121" s="18">
        <v>1</v>
      </c>
      <c r="DE121" s="18" t="s">
        <v>5141</v>
      </c>
      <c r="DF121" s="18" t="s">
        <v>5141</v>
      </c>
      <c r="DG121" s="18">
        <v>1</v>
      </c>
      <c r="DH121" s="18">
        <v>1</v>
      </c>
      <c r="DI121" s="18">
        <v>1</v>
      </c>
      <c r="DK121" s="18">
        <v>0</v>
      </c>
      <c r="DL121" s="18">
        <v>0</v>
      </c>
      <c r="DM121" s="18" t="s">
        <v>5127</v>
      </c>
      <c r="DN121" s="18" t="s">
        <v>5198</v>
      </c>
      <c r="DO121" s="18" t="s">
        <v>5665</v>
      </c>
      <c r="DP121" s="18" t="s">
        <v>106</v>
      </c>
      <c r="DS121" s="18">
        <v>0</v>
      </c>
      <c r="DT121" s="18">
        <v>1</v>
      </c>
      <c r="DU121" s="18">
        <v>1</v>
      </c>
      <c r="DV121" s="18" t="s">
        <v>5342</v>
      </c>
      <c r="DX121" s="18" t="s">
        <v>5222</v>
      </c>
      <c r="DY121" s="18" t="s">
        <v>106</v>
      </c>
      <c r="DZ121" s="18" t="s">
        <v>106</v>
      </c>
      <c r="EA121" s="18" t="s">
        <v>5175</v>
      </c>
      <c r="EB121" s="18">
        <v>390089</v>
      </c>
      <c r="EC121" s="18" t="s">
        <v>106</v>
      </c>
      <c r="ED121" s="18" t="s">
        <v>5176</v>
      </c>
      <c r="EE121" s="18" t="s">
        <v>106</v>
      </c>
      <c r="EF121" s="18" t="s">
        <v>106</v>
      </c>
      <c r="EH121" s="18" t="s">
        <v>5203</v>
      </c>
      <c r="EI121" s="18" t="s">
        <v>5204</v>
      </c>
      <c r="EJ121" s="18" t="s">
        <v>5245</v>
      </c>
      <c r="EN121" s="18" t="s">
        <v>106</v>
      </c>
      <c r="EO121" s="18" t="s">
        <v>113</v>
      </c>
      <c r="EP121" s="18" t="s">
        <v>113</v>
      </c>
      <c r="EQ121" s="18" t="s">
        <v>113</v>
      </c>
      <c r="ER121" s="18" t="s">
        <v>5328</v>
      </c>
      <c r="ES121" s="18" t="s">
        <v>5378</v>
      </c>
      <c r="ET121" s="18" t="s">
        <v>5154</v>
      </c>
      <c r="EU121" s="18" t="s">
        <v>5318</v>
      </c>
      <c r="EV121" s="18" t="s">
        <v>5730</v>
      </c>
      <c r="EW121" s="18" t="s">
        <v>5247</v>
      </c>
      <c r="EX121" s="18" t="s">
        <v>5158</v>
      </c>
      <c r="EY121" s="18" t="s">
        <v>5159</v>
      </c>
      <c r="EZ121" s="18" t="s">
        <v>5182</v>
      </c>
      <c r="FA121" s="18" t="s">
        <v>144</v>
      </c>
      <c r="FB121" s="18" t="s">
        <v>5161</v>
      </c>
    </row>
    <row r="122" spans="1:158" ht="10.5" customHeight="1" x14ac:dyDescent="0.2">
      <c r="A122" s="16">
        <v>41</v>
      </c>
      <c r="B122" s="16" t="s">
        <v>1476</v>
      </c>
      <c r="C122" s="16" t="s">
        <v>108</v>
      </c>
      <c r="D122" s="16">
        <v>1829225</v>
      </c>
      <c r="E122" s="16" t="s">
        <v>6660</v>
      </c>
      <c r="F122" s="18" t="s">
        <v>108</v>
      </c>
      <c r="G122" s="18" t="s">
        <v>106</v>
      </c>
      <c r="H122" s="15" t="s">
        <v>5127</v>
      </c>
      <c r="I122" s="18">
        <v>14</v>
      </c>
      <c r="J122" s="18">
        <v>5</v>
      </c>
      <c r="K122" s="18">
        <v>9</v>
      </c>
      <c r="M122" s="18" t="s">
        <v>5183</v>
      </c>
      <c r="N122" s="18">
        <v>24002483</v>
      </c>
      <c r="O122" s="18">
        <v>46265</v>
      </c>
      <c r="T122" s="18" t="s">
        <v>111</v>
      </c>
      <c r="U122" s="18" t="s">
        <v>5185</v>
      </c>
      <c r="V122" s="18" t="s">
        <v>106</v>
      </c>
      <c r="W122" s="18" t="s">
        <v>5124</v>
      </c>
      <c r="Y122" s="18" t="s">
        <v>5162</v>
      </c>
      <c r="Z122" s="18" t="s">
        <v>106</v>
      </c>
      <c r="AA122" s="18" t="s">
        <v>5267</v>
      </c>
      <c r="AB122" s="18" t="s">
        <v>179</v>
      </c>
      <c r="AC122" s="18" t="s">
        <v>5127</v>
      </c>
      <c r="AD122" s="18" t="s">
        <v>5127</v>
      </c>
      <c r="AE122" s="18" t="s">
        <v>5127</v>
      </c>
      <c r="AF122" s="18" t="s">
        <v>5127</v>
      </c>
      <c r="AG122" s="18" t="s">
        <v>5127</v>
      </c>
      <c r="AH122" s="18" t="s">
        <v>111</v>
      </c>
      <c r="AI122" s="18">
        <v>1</v>
      </c>
      <c r="AK122" s="18" t="s">
        <v>5164</v>
      </c>
      <c r="AN122" s="18">
        <v>492951</v>
      </c>
      <c r="AO122" s="18" t="s">
        <v>5165</v>
      </c>
      <c r="AP122" s="18" t="s">
        <v>5456</v>
      </c>
      <c r="AQ122" s="18" t="s">
        <v>5311</v>
      </c>
      <c r="AR122" s="18" t="s">
        <v>5727</v>
      </c>
      <c r="AT122" s="17">
        <f>(365*D122*0.7)/1000</f>
        <v>467366.98749999999</v>
      </c>
      <c r="AU122" s="17">
        <f t="shared" si="2"/>
        <v>147.88499999999999</v>
      </c>
      <c r="AV122" s="18">
        <f>32198/1000</f>
        <v>32.198</v>
      </c>
      <c r="AW122" s="18">
        <f>115687/1000</f>
        <v>115.687</v>
      </c>
      <c r="AY122" s="18" t="s">
        <v>5728</v>
      </c>
      <c r="BG122" s="18" t="s">
        <v>5133</v>
      </c>
      <c r="BQ122" s="18">
        <f>145285/1000</f>
        <v>145.285</v>
      </c>
      <c r="BR122" s="18">
        <f>102486/1000</f>
        <v>102.486</v>
      </c>
      <c r="BS122" s="18">
        <f>25795/1000</f>
        <v>25.795000000000002</v>
      </c>
      <c r="BT122" s="18">
        <f>71500/1000</f>
        <v>71.5</v>
      </c>
      <c r="BU122" s="18">
        <v>0</v>
      </c>
      <c r="BV122" s="18">
        <f t="shared" si="4"/>
        <v>345.06600000000003</v>
      </c>
      <c r="BW122" s="15">
        <f t="shared" si="3"/>
        <v>345.06600000000003</v>
      </c>
      <c r="BY122" s="18" t="s">
        <v>5134</v>
      </c>
      <c r="BZ122" s="18" t="s">
        <v>5688</v>
      </c>
      <c r="CD122" s="18" t="s">
        <v>5127</v>
      </c>
      <c r="CE122" s="18" t="s">
        <v>5127</v>
      </c>
      <c r="CF122" s="18" t="s">
        <v>5135</v>
      </c>
      <c r="CG122" s="18" t="s">
        <v>5550</v>
      </c>
      <c r="CH122" s="18" t="s">
        <v>5194</v>
      </c>
      <c r="CI122" s="18" t="s">
        <v>5195</v>
      </c>
      <c r="CJ122" s="18" t="s">
        <v>5196</v>
      </c>
      <c r="CK122" s="18" t="s">
        <v>5341</v>
      </c>
      <c r="CL122" s="18">
        <v>1</v>
      </c>
      <c r="CM122" s="18">
        <v>1</v>
      </c>
      <c r="CN122" s="18">
        <v>0</v>
      </c>
      <c r="CO122" s="18">
        <v>1</v>
      </c>
      <c r="CP122" s="18">
        <v>1</v>
      </c>
      <c r="CQ122" s="18">
        <v>1</v>
      </c>
      <c r="CR122" s="18" t="s">
        <v>5141</v>
      </c>
      <c r="CS122" s="18" t="s">
        <v>5141</v>
      </c>
      <c r="CT122" s="18">
        <v>0</v>
      </c>
      <c r="CU122" s="18">
        <v>1</v>
      </c>
      <c r="CV122" s="18">
        <v>1</v>
      </c>
      <c r="CX122" s="18">
        <v>1</v>
      </c>
      <c r="CY122" s="18">
        <v>1</v>
      </c>
      <c r="CZ122" s="18">
        <v>1</v>
      </c>
      <c r="DA122" s="18">
        <v>0</v>
      </c>
      <c r="DB122" s="18">
        <v>1</v>
      </c>
      <c r="DC122" s="18">
        <v>0</v>
      </c>
      <c r="DD122" s="18">
        <v>1</v>
      </c>
      <c r="DE122" s="18" t="s">
        <v>5141</v>
      </c>
      <c r="DF122" s="18" t="s">
        <v>5141</v>
      </c>
      <c r="DG122" s="18">
        <v>1</v>
      </c>
      <c r="DH122" s="18">
        <v>1</v>
      </c>
      <c r="DI122" s="18">
        <v>1</v>
      </c>
      <c r="DK122" s="18">
        <v>0</v>
      </c>
      <c r="DL122" s="18">
        <v>0</v>
      </c>
      <c r="DM122" s="18" t="s">
        <v>5127</v>
      </c>
      <c r="DN122" s="18" t="s">
        <v>5258</v>
      </c>
      <c r="DO122" s="18" t="s">
        <v>5665</v>
      </c>
      <c r="DP122" s="18" t="s">
        <v>106</v>
      </c>
      <c r="DS122" s="18">
        <v>0</v>
      </c>
      <c r="DT122" s="18">
        <v>1</v>
      </c>
      <c r="DU122" s="18">
        <v>1</v>
      </c>
      <c r="DV122" s="18" t="s">
        <v>5342</v>
      </c>
      <c r="DX122" s="18" t="s">
        <v>5201</v>
      </c>
      <c r="DY122" s="18" t="s">
        <v>106</v>
      </c>
      <c r="DZ122" s="18" t="s">
        <v>106</v>
      </c>
      <c r="EA122" s="18" t="s">
        <v>5175</v>
      </c>
      <c r="EB122" s="18">
        <v>345066</v>
      </c>
      <c r="EC122" s="18" t="s">
        <v>106</v>
      </c>
      <c r="ED122" s="18" t="s">
        <v>5176</v>
      </c>
      <c r="EE122" s="18" t="s">
        <v>106</v>
      </c>
      <c r="EF122" s="18" t="s">
        <v>106</v>
      </c>
      <c r="EH122" s="18" t="s">
        <v>5203</v>
      </c>
      <c r="EI122" s="18" t="s">
        <v>5204</v>
      </c>
      <c r="EJ122" s="18" t="s">
        <v>5245</v>
      </c>
      <c r="EN122" s="18" t="s">
        <v>106</v>
      </c>
      <c r="EO122" s="18" t="s">
        <v>113</v>
      </c>
      <c r="EP122" s="18" t="s">
        <v>113</v>
      </c>
      <c r="EQ122" s="18" t="s">
        <v>113</v>
      </c>
      <c r="ER122" s="18" t="s">
        <v>5289</v>
      </c>
      <c r="ES122" s="18" t="s">
        <v>5737</v>
      </c>
      <c r="ET122" s="18" t="s">
        <v>5154</v>
      </c>
      <c r="EU122" s="18" t="s">
        <v>5155</v>
      </c>
      <c r="EV122" s="18" t="s">
        <v>5730</v>
      </c>
      <c r="EW122" s="18" t="s">
        <v>5247</v>
      </c>
      <c r="EX122" s="18" t="s">
        <v>5158</v>
      </c>
      <c r="EY122" s="18" t="s">
        <v>5159</v>
      </c>
      <c r="EZ122" s="18" t="s">
        <v>5182</v>
      </c>
      <c r="FA122" s="18" t="s">
        <v>144</v>
      </c>
      <c r="FB122" s="18" t="s">
        <v>5161</v>
      </c>
    </row>
    <row r="123" spans="1:158" ht="10.5" customHeight="1" x14ac:dyDescent="0.2">
      <c r="A123" s="16">
        <v>41</v>
      </c>
      <c r="B123" s="16" t="s">
        <v>1476</v>
      </c>
      <c r="C123" s="16" t="s">
        <v>108</v>
      </c>
      <c r="D123" s="16">
        <v>1829225</v>
      </c>
      <c r="E123" s="16" t="s">
        <v>6660</v>
      </c>
      <c r="F123" s="18" t="s">
        <v>108</v>
      </c>
      <c r="G123" s="18" t="s">
        <v>106</v>
      </c>
      <c r="H123" s="15" t="s">
        <v>5127</v>
      </c>
      <c r="I123" s="18">
        <v>12</v>
      </c>
      <c r="J123" s="18">
        <v>5</v>
      </c>
      <c r="K123" s="18">
        <v>7</v>
      </c>
      <c r="M123" s="18" t="s">
        <v>5230</v>
      </c>
      <c r="N123" s="18">
        <v>24003770</v>
      </c>
      <c r="O123" s="18">
        <v>47047</v>
      </c>
      <c r="T123" s="18" t="s">
        <v>5726</v>
      </c>
      <c r="U123" s="18" t="s">
        <v>5185</v>
      </c>
      <c r="V123" s="18" t="s">
        <v>106</v>
      </c>
      <c r="W123" s="18" t="s">
        <v>5124</v>
      </c>
      <c r="Y123" s="18" t="s">
        <v>5162</v>
      </c>
      <c r="Z123" s="18" t="s">
        <v>106</v>
      </c>
      <c r="AA123" s="18" t="s">
        <v>5267</v>
      </c>
      <c r="AB123" s="18" t="s">
        <v>179</v>
      </c>
      <c r="AC123" s="18" t="s">
        <v>5127</v>
      </c>
      <c r="AD123" s="18" t="s">
        <v>5127</v>
      </c>
      <c r="AE123" s="18" t="s">
        <v>5127</v>
      </c>
      <c r="AF123" s="18" t="s">
        <v>5127</v>
      </c>
      <c r="AG123" s="18" t="s">
        <v>5127</v>
      </c>
      <c r="AH123" s="18" t="s">
        <v>111</v>
      </c>
      <c r="AI123" s="18">
        <v>1</v>
      </c>
      <c r="AK123" s="18" t="s">
        <v>5164</v>
      </c>
      <c r="AN123" s="18">
        <v>577623</v>
      </c>
      <c r="AO123" s="18" t="s">
        <v>5165</v>
      </c>
      <c r="AP123" s="18" t="s">
        <v>5738</v>
      </c>
      <c r="AQ123" s="18" t="s">
        <v>5311</v>
      </c>
      <c r="AR123" s="18" t="s">
        <v>5727</v>
      </c>
      <c r="AT123" s="17">
        <f>(365*D123*0.7)/1000</f>
        <v>467366.98749999999</v>
      </c>
      <c r="AU123" s="17">
        <f t="shared" si="2"/>
        <v>173.28699999999998</v>
      </c>
      <c r="AV123" s="18">
        <f>67597/1000</f>
        <v>67.596999999999994</v>
      </c>
      <c r="AW123" s="18">
        <f>105690/1000</f>
        <v>105.69</v>
      </c>
      <c r="AY123" s="18" t="s">
        <v>5728</v>
      </c>
      <c r="BG123" s="18" t="s">
        <v>5133</v>
      </c>
      <c r="BQ123" s="18">
        <f>161860/1000</f>
        <v>161.86000000000001</v>
      </c>
      <c r="BR123" s="18">
        <f>61756/1000</f>
        <v>61.756</v>
      </c>
      <c r="BS123" s="18">
        <f>30630/1000</f>
        <v>30.63</v>
      </c>
      <c r="BT123" s="18">
        <f>150090/1000</f>
        <v>150.09</v>
      </c>
      <c r="BU123" s="18">
        <v>0</v>
      </c>
      <c r="BV123" s="18">
        <f t="shared" si="4"/>
        <v>404.33600000000001</v>
      </c>
      <c r="BW123" s="15">
        <f t="shared" si="3"/>
        <v>404.33600000000001</v>
      </c>
      <c r="BY123" s="18" t="s">
        <v>5134</v>
      </c>
      <c r="BZ123" s="18" t="s">
        <v>5688</v>
      </c>
      <c r="CD123" s="18" t="s">
        <v>5127</v>
      </c>
      <c r="CE123" s="18" t="s">
        <v>5127</v>
      </c>
      <c r="CF123" s="18" t="s">
        <v>5135</v>
      </c>
      <c r="CG123" s="18" t="s">
        <v>5550</v>
      </c>
      <c r="CH123" s="18" t="s">
        <v>5556</v>
      </c>
      <c r="CI123" s="18" t="s">
        <v>5195</v>
      </c>
      <c r="CJ123" s="18" t="s">
        <v>5196</v>
      </c>
      <c r="CK123" s="18" t="s">
        <v>5341</v>
      </c>
      <c r="CL123" s="18">
        <v>0</v>
      </c>
      <c r="CM123" s="18">
        <v>1</v>
      </c>
      <c r="CN123" s="18">
        <v>0</v>
      </c>
      <c r="CO123" s="18">
        <v>1</v>
      </c>
      <c r="CP123" s="18">
        <v>0</v>
      </c>
      <c r="CQ123" s="18">
        <v>1</v>
      </c>
      <c r="CR123" s="18" t="s">
        <v>5141</v>
      </c>
      <c r="CS123" s="18" t="s">
        <v>5141</v>
      </c>
      <c r="CT123" s="18">
        <v>1</v>
      </c>
      <c r="CU123" s="18">
        <v>1</v>
      </c>
      <c r="CV123" s="18">
        <v>1</v>
      </c>
      <c r="CX123" s="18">
        <v>1</v>
      </c>
      <c r="CY123" s="18">
        <v>1</v>
      </c>
      <c r="CZ123" s="18">
        <v>0</v>
      </c>
      <c r="DA123" s="18">
        <v>0</v>
      </c>
      <c r="DB123" s="18">
        <v>1</v>
      </c>
      <c r="DC123" s="18">
        <v>1</v>
      </c>
      <c r="DD123" s="18">
        <v>1</v>
      </c>
      <c r="DE123" s="18" t="s">
        <v>5141</v>
      </c>
      <c r="DF123" s="18" t="s">
        <v>5141</v>
      </c>
      <c r="DG123" s="18">
        <v>1</v>
      </c>
      <c r="DH123" s="18">
        <v>1</v>
      </c>
      <c r="DI123" s="18">
        <v>1</v>
      </c>
      <c r="DK123" s="18">
        <v>0</v>
      </c>
      <c r="DL123" s="18">
        <v>0</v>
      </c>
      <c r="DM123" s="18" t="s">
        <v>5127</v>
      </c>
      <c r="DN123" s="18" t="s">
        <v>5716</v>
      </c>
      <c r="DO123" s="18" t="s">
        <v>5665</v>
      </c>
      <c r="DP123" s="18" t="s">
        <v>106</v>
      </c>
      <c r="DS123" s="18">
        <v>0</v>
      </c>
      <c r="DT123" s="18">
        <v>1</v>
      </c>
      <c r="DU123" s="18">
        <v>1</v>
      </c>
      <c r="DV123" s="18" t="s">
        <v>5342</v>
      </c>
      <c r="DX123" s="18" t="s">
        <v>5222</v>
      </c>
      <c r="DY123" s="18" t="s">
        <v>106</v>
      </c>
      <c r="DZ123" s="18" t="s">
        <v>106</v>
      </c>
      <c r="EA123" s="18" t="s">
        <v>5175</v>
      </c>
      <c r="EB123" s="18">
        <v>404336</v>
      </c>
      <c r="EC123" s="18" t="s">
        <v>106</v>
      </c>
      <c r="ED123" s="18" t="s">
        <v>5176</v>
      </c>
      <c r="EE123" s="18" t="s">
        <v>106</v>
      </c>
      <c r="EF123" s="18" t="s">
        <v>106</v>
      </c>
      <c r="EH123" s="18" t="s">
        <v>5203</v>
      </c>
      <c r="EI123" s="18" t="s">
        <v>5204</v>
      </c>
      <c r="EJ123" s="18" t="s">
        <v>5245</v>
      </c>
      <c r="EN123" s="18" t="s">
        <v>113</v>
      </c>
      <c r="EO123" s="18" t="s">
        <v>113</v>
      </c>
      <c r="EP123" s="18" t="s">
        <v>113</v>
      </c>
      <c r="EQ123" s="18" t="s">
        <v>113</v>
      </c>
      <c r="ER123" s="18" t="s">
        <v>5328</v>
      </c>
      <c r="ES123" s="18" t="s">
        <v>5498</v>
      </c>
      <c r="ET123" s="18" t="s">
        <v>5154</v>
      </c>
      <c r="EU123" s="18" t="s">
        <v>5318</v>
      </c>
      <c r="EV123" s="18" t="s">
        <v>5730</v>
      </c>
      <c r="EW123" s="18" t="s">
        <v>5247</v>
      </c>
      <c r="EX123" s="18" t="s">
        <v>5158</v>
      </c>
      <c r="EY123" s="18" t="s">
        <v>5159</v>
      </c>
      <c r="EZ123" s="18" t="s">
        <v>5182</v>
      </c>
      <c r="FA123" s="18" t="s">
        <v>144</v>
      </c>
      <c r="FB123" s="18" t="s">
        <v>5161</v>
      </c>
    </row>
    <row r="124" spans="1:158" ht="10.5" customHeight="1" x14ac:dyDescent="0.2">
      <c r="A124" s="16">
        <v>41</v>
      </c>
      <c r="B124" s="16" t="s">
        <v>1476</v>
      </c>
      <c r="C124" s="16" t="s">
        <v>108</v>
      </c>
      <c r="D124" s="16">
        <v>1829225</v>
      </c>
      <c r="E124" s="16" t="s">
        <v>6660</v>
      </c>
      <c r="F124" s="18" t="s">
        <v>108</v>
      </c>
      <c r="G124" s="18" t="s">
        <v>106</v>
      </c>
      <c r="H124" s="15" t="s">
        <v>5127</v>
      </c>
      <c r="I124" s="18">
        <v>14</v>
      </c>
      <c r="J124" s="18">
        <v>6</v>
      </c>
      <c r="K124" s="18">
        <v>8</v>
      </c>
      <c r="M124" s="18" t="s">
        <v>5183</v>
      </c>
      <c r="N124" s="18" t="s">
        <v>5739</v>
      </c>
      <c r="O124" s="18">
        <v>46066</v>
      </c>
      <c r="T124" s="18" t="s">
        <v>111</v>
      </c>
      <c r="U124" s="18" t="s">
        <v>5185</v>
      </c>
      <c r="V124" s="18" t="s">
        <v>106</v>
      </c>
      <c r="W124" s="18" t="s">
        <v>5124</v>
      </c>
      <c r="Y124" s="18" t="s">
        <v>5162</v>
      </c>
      <c r="Z124" s="18" t="s">
        <v>106</v>
      </c>
      <c r="AA124" s="18" t="s">
        <v>5267</v>
      </c>
      <c r="AB124" s="18" t="s">
        <v>179</v>
      </c>
      <c r="AC124" s="18" t="s">
        <v>5127</v>
      </c>
      <c r="AD124" s="18" t="s">
        <v>5127</v>
      </c>
      <c r="AE124" s="18" t="s">
        <v>5127</v>
      </c>
      <c r="AF124" s="18" t="s">
        <v>5127</v>
      </c>
      <c r="AG124" s="18" t="s">
        <v>5127</v>
      </c>
      <c r="AH124" s="18" t="s">
        <v>111</v>
      </c>
      <c r="AI124" s="18">
        <v>1</v>
      </c>
      <c r="AK124" s="18" t="s">
        <v>5164</v>
      </c>
      <c r="AN124" s="18">
        <v>605034</v>
      </c>
      <c r="AO124" s="18" t="s">
        <v>5165</v>
      </c>
      <c r="AP124" s="18" t="s">
        <v>5456</v>
      </c>
      <c r="AQ124" s="18" t="s">
        <v>5311</v>
      </c>
      <c r="AR124" s="18" t="s">
        <v>5727</v>
      </c>
      <c r="AT124" s="17">
        <f>(365*D124*0.7)/1000</f>
        <v>467366.98749999999</v>
      </c>
      <c r="AU124" s="17">
        <f t="shared" si="2"/>
        <v>180.2</v>
      </c>
      <c r="AV124" s="18">
        <f>76250/1000</f>
        <v>76.25</v>
      </c>
      <c r="AW124" s="18">
        <f>103950/1000</f>
        <v>103.95</v>
      </c>
      <c r="AY124" s="18" t="s">
        <v>5728</v>
      </c>
      <c r="BG124" s="18" t="s">
        <v>5133</v>
      </c>
      <c r="BQ124" s="18">
        <f>206980/1000</f>
        <v>206.98</v>
      </c>
      <c r="BR124" s="18">
        <f>99839/1000</f>
        <v>99.838999999999999</v>
      </c>
      <c r="BS124" s="18">
        <f>22665/1000</f>
        <v>22.664999999999999</v>
      </c>
      <c r="BT124" s="18">
        <f>94040/1000</f>
        <v>94.04</v>
      </c>
      <c r="BU124" s="18">
        <v>0</v>
      </c>
      <c r="BV124" s="18">
        <f t="shared" si="4"/>
        <v>423.524</v>
      </c>
      <c r="BW124" s="15">
        <f t="shared" si="3"/>
        <v>423.524</v>
      </c>
      <c r="BY124" s="18" t="s">
        <v>5134</v>
      </c>
      <c r="BZ124" s="18" t="s">
        <v>5688</v>
      </c>
      <c r="CD124" s="18" t="s">
        <v>5127</v>
      </c>
      <c r="CE124" s="18" t="s">
        <v>5127</v>
      </c>
      <c r="CF124" s="18" t="s">
        <v>5135</v>
      </c>
      <c r="CG124" s="18" t="s">
        <v>5550</v>
      </c>
      <c r="CH124" s="18" t="s">
        <v>5556</v>
      </c>
      <c r="CI124" s="18" t="s">
        <v>5195</v>
      </c>
      <c r="CJ124" s="18" t="s">
        <v>5196</v>
      </c>
      <c r="CK124" s="18" t="s">
        <v>5341</v>
      </c>
      <c r="CL124" s="18">
        <v>0</v>
      </c>
      <c r="CM124" s="18">
        <v>1</v>
      </c>
      <c r="CN124" s="18">
        <v>0</v>
      </c>
      <c r="CO124" s="18">
        <v>1</v>
      </c>
      <c r="CP124" s="18">
        <v>1</v>
      </c>
      <c r="CQ124" s="18">
        <v>1</v>
      </c>
      <c r="CR124" s="18" t="s">
        <v>5141</v>
      </c>
      <c r="CS124" s="18" t="s">
        <v>5141</v>
      </c>
      <c r="CT124" s="18">
        <v>0</v>
      </c>
      <c r="CU124" s="18">
        <v>1</v>
      </c>
      <c r="CV124" s="18">
        <v>1</v>
      </c>
      <c r="CX124" s="18">
        <v>1</v>
      </c>
      <c r="CY124" s="18">
        <v>1</v>
      </c>
      <c r="CZ124" s="18">
        <v>0</v>
      </c>
      <c r="DA124" s="18">
        <v>0</v>
      </c>
      <c r="DB124" s="18">
        <v>1</v>
      </c>
      <c r="DC124" s="18">
        <v>1</v>
      </c>
      <c r="DD124" s="18">
        <v>1</v>
      </c>
      <c r="DE124" s="18">
        <v>3</v>
      </c>
      <c r="DF124" s="18" t="s">
        <v>5141</v>
      </c>
      <c r="DG124" s="18">
        <v>0</v>
      </c>
      <c r="DH124" s="18">
        <v>1</v>
      </c>
      <c r="DI124" s="18">
        <v>1</v>
      </c>
      <c r="DK124" s="18">
        <v>0</v>
      </c>
      <c r="DL124" s="18">
        <v>0</v>
      </c>
      <c r="DM124" s="18" t="s">
        <v>5127</v>
      </c>
      <c r="DN124" s="18" t="s">
        <v>5716</v>
      </c>
      <c r="DO124" s="18" t="s">
        <v>5665</v>
      </c>
      <c r="DP124" s="18" t="s">
        <v>106</v>
      </c>
      <c r="DS124" s="18">
        <v>0</v>
      </c>
      <c r="DT124" s="18">
        <v>1</v>
      </c>
      <c r="DU124" s="18">
        <v>1</v>
      </c>
      <c r="DV124" s="18" t="s">
        <v>5342</v>
      </c>
      <c r="DX124" s="18" t="s">
        <v>5222</v>
      </c>
      <c r="DY124" s="18" t="s">
        <v>106</v>
      </c>
      <c r="DZ124" s="18" t="s">
        <v>106</v>
      </c>
      <c r="EA124" s="18" t="s">
        <v>5175</v>
      </c>
      <c r="EB124" s="18">
        <v>423524</v>
      </c>
      <c r="EC124" s="18" t="s">
        <v>106</v>
      </c>
      <c r="ED124" s="18" t="s">
        <v>5176</v>
      </c>
      <c r="EE124" s="18" t="s">
        <v>106</v>
      </c>
      <c r="EF124" s="18" t="s">
        <v>106</v>
      </c>
      <c r="EH124" s="18" t="s">
        <v>5203</v>
      </c>
      <c r="EI124" s="18" t="s">
        <v>5204</v>
      </c>
      <c r="EJ124" s="18" t="s">
        <v>5245</v>
      </c>
      <c r="EN124" s="18" t="s">
        <v>106</v>
      </c>
      <c r="EO124" s="18" t="s">
        <v>113</v>
      </c>
      <c r="EP124" s="18" t="s">
        <v>113</v>
      </c>
      <c r="EQ124" s="18" t="s">
        <v>113</v>
      </c>
      <c r="ER124" s="18" t="s">
        <v>5289</v>
      </c>
      <c r="ES124" s="18" t="s">
        <v>5317</v>
      </c>
      <c r="ET124" s="18" t="s">
        <v>5154</v>
      </c>
      <c r="EU124" s="18" t="s">
        <v>5155</v>
      </c>
      <c r="EV124" s="18" t="s">
        <v>5730</v>
      </c>
      <c r="EW124" s="18" t="s">
        <v>5247</v>
      </c>
      <c r="EX124" s="18" t="s">
        <v>5158</v>
      </c>
      <c r="EY124" s="18" t="s">
        <v>5159</v>
      </c>
      <c r="EZ124" s="18" t="s">
        <v>5182</v>
      </c>
      <c r="FA124" s="18" t="s">
        <v>144</v>
      </c>
      <c r="FB124" s="18" t="s">
        <v>5161</v>
      </c>
    </row>
    <row r="125" spans="1:158" ht="10.5" customHeight="1" x14ac:dyDescent="0.2">
      <c r="A125" s="16">
        <v>41</v>
      </c>
      <c r="B125" s="16" t="s">
        <v>1476</v>
      </c>
      <c r="C125" s="16" t="s">
        <v>108</v>
      </c>
      <c r="D125" s="16">
        <v>1829225</v>
      </c>
      <c r="E125" s="16" t="s">
        <v>6660</v>
      </c>
      <c r="F125" s="18" t="s">
        <v>108</v>
      </c>
      <c r="G125" s="18" t="s">
        <v>106</v>
      </c>
      <c r="H125" s="15" t="s">
        <v>5127</v>
      </c>
      <c r="I125" s="18">
        <v>17</v>
      </c>
      <c r="J125" s="18">
        <v>10</v>
      </c>
      <c r="K125" s="18">
        <v>7</v>
      </c>
      <c r="M125" s="18" t="s">
        <v>5183</v>
      </c>
      <c r="N125" s="18">
        <v>23003165</v>
      </c>
      <c r="O125" s="18">
        <v>46173</v>
      </c>
      <c r="T125" s="18" t="s">
        <v>111</v>
      </c>
      <c r="U125" s="18" t="s">
        <v>5185</v>
      </c>
      <c r="V125" s="18" t="s">
        <v>106</v>
      </c>
      <c r="W125" s="18" t="s">
        <v>5124</v>
      </c>
      <c r="Y125" s="18" t="s">
        <v>5162</v>
      </c>
      <c r="Z125" s="18" t="s">
        <v>106</v>
      </c>
      <c r="AA125" s="18" t="s">
        <v>5267</v>
      </c>
      <c r="AB125" s="18" t="s">
        <v>179</v>
      </c>
      <c r="AC125" s="18" t="s">
        <v>5127</v>
      </c>
      <c r="AD125" s="18" t="s">
        <v>5127</v>
      </c>
      <c r="AE125" s="18" t="s">
        <v>5127</v>
      </c>
      <c r="AF125" s="18" t="s">
        <v>5127</v>
      </c>
      <c r="AG125" s="18" t="s">
        <v>5127</v>
      </c>
      <c r="AH125" s="18" t="s">
        <v>111</v>
      </c>
      <c r="AI125" s="18">
        <v>1</v>
      </c>
      <c r="AK125" s="18" t="s">
        <v>5164</v>
      </c>
      <c r="AN125" s="18">
        <v>524241</v>
      </c>
      <c r="AO125" s="18" t="s">
        <v>5165</v>
      </c>
      <c r="AP125" s="18" t="s">
        <v>5456</v>
      </c>
      <c r="AQ125" s="18" t="s">
        <v>5311</v>
      </c>
      <c r="AR125" s="18" t="s">
        <v>5464</v>
      </c>
      <c r="AT125" s="17">
        <f>(365*D125*0.7)/1000</f>
        <v>467366.98749999999</v>
      </c>
      <c r="AU125" s="17">
        <f t="shared" si="2"/>
        <v>157.27199999999999</v>
      </c>
      <c r="AV125" s="18">
        <f>69547/1000</f>
        <v>69.546999999999997</v>
      </c>
      <c r="AW125" s="18">
        <f>87725/1000</f>
        <v>87.724999999999994</v>
      </c>
      <c r="AY125" s="18" t="s">
        <v>5728</v>
      </c>
      <c r="BG125" s="18" t="s">
        <v>5133</v>
      </c>
      <c r="BQ125" s="18">
        <f>220182/1000</f>
        <v>220.18199999999999</v>
      </c>
      <c r="BR125" s="18">
        <f>78493/1000</f>
        <v>78.492999999999995</v>
      </c>
      <c r="BS125" s="18">
        <f>26114/1000</f>
        <v>26.114000000000001</v>
      </c>
      <c r="BT125" s="18">
        <f>42180/1000</f>
        <v>42.18</v>
      </c>
      <c r="BU125" s="18">
        <v>0</v>
      </c>
      <c r="BV125" s="18">
        <f t="shared" si="4"/>
        <v>366.96899999999994</v>
      </c>
      <c r="BW125" s="15">
        <f t="shared" si="3"/>
        <v>366.96899999999994</v>
      </c>
      <c r="BY125" s="18" t="s">
        <v>5134</v>
      </c>
      <c r="BZ125" s="18" t="s">
        <v>5688</v>
      </c>
      <c r="CD125" s="18" t="s">
        <v>5127</v>
      </c>
      <c r="CE125" s="18" t="s">
        <v>5127</v>
      </c>
      <c r="CF125" s="18" t="s">
        <v>5135</v>
      </c>
      <c r="CG125" s="18" t="s">
        <v>5550</v>
      </c>
      <c r="CH125" s="18" t="s">
        <v>5194</v>
      </c>
      <c r="CI125" s="18" t="s">
        <v>5195</v>
      </c>
      <c r="CJ125" s="18" t="s">
        <v>5196</v>
      </c>
      <c r="CK125" s="18" t="s">
        <v>5341</v>
      </c>
      <c r="CL125" s="18">
        <v>1</v>
      </c>
      <c r="CM125" s="18">
        <v>1</v>
      </c>
      <c r="CN125" s="18">
        <v>0</v>
      </c>
      <c r="CO125" s="18">
        <v>1</v>
      </c>
      <c r="CP125" s="18">
        <v>1</v>
      </c>
      <c r="CQ125" s="18">
        <v>0</v>
      </c>
      <c r="CR125" s="18" t="s">
        <v>5141</v>
      </c>
      <c r="CS125" s="18" t="s">
        <v>5141</v>
      </c>
      <c r="CT125" s="18">
        <v>1</v>
      </c>
      <c r="CU125" s="18">
        <v>1</v>
      </c>
      <c r="CV125" s="18">
        <v>1</v>
      </c>
      <c r="CX125" s="18">
        <v>1</v>
      </c>
      <c r="CY125" s="18">
        <v>1</v>
      </c>
      <c r="CZ125" s="18">
        <v>1</v>
      </c>
      <c r="DA125" s="18">
        <v>0</v>
      </c>
      <c r="DB125" s="18">
        <v>1</v>
      </c>
      <c r="DC125" s="18">
        <v>1</v>
      </c>
      <c r="DD125" s="18">
        <v>1</v>
      </c>
      <c r="DE125" s="18" t="s">
        <v>5141</v>
      </c>
      <c r="DF125" s="18" t="s">
        <v>5141</v>
      </c>
      <c r="DG125" s="18">
        <v>1</v>
      </c>
      <c r="DH125" s="18">
        <v>1</v>
      </c>
      <c r="DI125" s="18">
        <v>1</v>
      </c>
      <c r="DK125" s="18">
        <v>0</v>
      </c>
      <c r="DL125" s="18">
        <v>0</v>
      </c>
      <c r="DM125" s="18" t="s">
        <v>5127</v>
      </c>
      <c r="DN125" s="18" t="s">
        <v>5314</v>
      </c>
      <c r="DO125" s="18" t="s">
        <v>5488</v>
      </c>
      <c r="DP125" s="18" t="s">
        <v>106</v>
      </c>
      <c r="DQ125" s="18" t="s">
        <v>5727</v>
      </c>
      <c r="DS125" s="18">
        <v>0</v>
      </c>
      <c r="DT125" s="18">
        <v>1</v>
      </c>
      <c r="DU125" s="18">
        <v>1</v>
      </c>
      <c r="DV125" s="18" t="s">
        <v>5342</v>
      </c>
      <c r="DX125" s="18" t="s">
        <v>5222</v>
      </c>
      <c r="DY125" s="18" t="s">
        <v>106</v>
      </c>
      <c r="DZ125" s="18" t="s">
        <v>106</v>
      </c>
      <c r="EA125" s="18" t="s">
        <v>5175</v>
      </c>
      <c r="EB125" s="18">
        <v>366969</v>
      </c>
      <c r="EC125" s="18" t="s">
        <v>106</v>
      </c>
      <c r="ED125" s="18" t="s">
        <v>5147</v>
      </c>
      <c r="EE125" s="18" t="s">
        <v>106</v>
      </c>
      <c r="EF125" s="18" t="s">
        <v>106</v>
      </c>
      <c r="EG125" s="18" t="s">
        <v>5148</v>
      </c>
      <c r="EH125" s="18" t="s">
        <v>5203</v>
      </c>
      <c r="EI125" s="18" t="s">
        <v>5204</v>
      </c>
      <c r="EJ125" s="18" t="s">
        <v>5245</v>
      </c>
      <c r="EN125" s="18" t="s">
        <v>106</v>
      </c>
      <c r="EO125" s="18" t="s">
        <v>113</v>
      </c>
      <c r="EP125" s="18" t="s">
        <v>113</v>
      </c>
      <c r="EQ125" s="18" t="s">
        <v>113</v>
      </c>
      <c r="ER125" s="18" t="s">
        <v>5328</v>
      </c>
      <c r="ES125" s="18" t="s">
        <v>5378</v>
      </c>
      <c r="ET125" s="18" t="s">
        <v>5154</v>
      </c>
      <c r="EU125" s="18" t="s">
        <v>5318</v>
      </c>
      <c r="EV125" s="18" t="s">
        <v>5730</v>
      </c>
      <c r="EW125" s="18" t="s">
        <v>5247</v>
      </c>
      <c r="EX125" s="18" t="s">
        <v>5158</v>
      </c>
      <c r="EY125" s="18" t="s">
        <v>5181</v>
      </c>
      <c r="EZ125" s="18" t="s">
        <v>5182</v>
      </c>
      <c r="FA125" s="18" t="s">
        <v>144</v>
      </c>
      <c r="FB125" s="18" t="s">
        <v>5161</v>
      </c>
    </row>
    <row r="126" spans="1:158" ht="10.5" customHeight="1" x14ac:dyDescent="0.2">
      <c r="A126" s="16">
        <v>41</v>
      </c>
      <c r="B126" s="16" t="s">
        <v>1476</v>
      </c>
      <c r="C126" s="16" t="s">
        <v>108</v>
      </c>
      <c r="D126" s="16">
        <v>1829225</v>
      </c>
      <c r="E126" s="16" t="s">
        <v>6660</v>
      </c>
      <c r="F126" s="18" t="s">
        <v>108</v>
      </c>
      <c r="G126" s="18" t="s">
        <v>106</v>
      </c>
      <c r="H126" s="15" t="s">
        <v>5127</v>
      </c>
      <c r="I126" s="18">
        <v>7</v>
      </c>
      <c r="J126" s="18">
        <v>5</v>
      </c>
      <c r="K126" s="18">
        <v>2</v>
      </c>
      <c r="M126" s="18" t="s">
        <v>5183</v>
      </c>
      <c r="N126" s="18">
        <v>24003519</v>
      </c>
      <c r="O126" s="18">
        <v>45930</v>
      </c>
      <c r="T126" s="18" t="s">
        <v>5240</v>
      </c>
      <c r="U126" s="18" t="s">
        <v>5185</v>
      </c>
      <c r="V126" s="18" t="s">
        <v>106</v>
      </c>
      <c r="W126" s="18" t="s">
        <v>5124</v>
      </c>
      <c r="Y126" s="18" t="s">
        <v>5232</v>
      </c>
      <c r="Z126" s="18" t="s">
        <v>106</v>
      </c>
      <c r="AA126" s="18" t="s">
        <v>5267</v>
      </c>
      <c r="AB126" s="18" t="s">
        <v>179</v>
      </c>
      <c r="AC126" s="18" t="s">
        <v>5127</v>
      </c>
      <c r="AD126" s="18" t="s">
        <v>5127</v>
      </c>
      <c r="AE126" s="18" t="s">
        <v>5127</v>
      </c>
      <c r="AF126" s="18" t="s">
        <v>5127</v>
      </c>
      <c r="AG126" s="18" t="s">
        <v>5127</v>
      </c>
      <c r="AH126" s="18" t="s">
        <v>111</v>
      </c>
      <c r="AI126" s="18">
        <v>1</v>
      </c>
      <c r="AK126" s="18" t="s">
        <v>5164</v>
      </c>
      <c r="AN126" s="18">
        <v>158298</v>
      </c>
      <c r="AO126" s="18" t="s">
        <v>5129</v>
      </c>
      <c r="AP126" s="18" t="s">
        <v>5456</v>
      </c>
      <c r="AQ126" s="18" t="s">
        <v>5311</v>
      </c>
      <c r="AR126" s="18" t="s">
        <v>5727</v>
      </c>
      <c r="AT126" s="17">
        <f>(365*D126*0.7)/1000</f>
        <v>467366.98749999999</v>
      </c>
      <c r="AU126" s="17">
        <f t="shared" si="2"/>
        <v>47.489000000000004</v>
      </c>
      <c r="AV126" s="18">
        <f>21797/1000</f>
        <v>21.797000000000001</v>
      </c>
      <c r="AW126" s="18">
        <f>25692/1000</f>
        <v>25.692</v>
      </c>
      <c r="AY126" s="18" t="s">
        <v>5728</v>
      </c>
      <c r="BG126" s="18" t="s">
        <v>5133</v>
      </c>
      <c r="BQ126" s="18">
        <f>56290/1000</f>
        <v>56.29</v>
      </c>
      <c r="BR126" s="18">
        <f>30065/1000</f>
        <v>30.065000000000001</v>
      </c>
      <c r="BS126" s="18">
        <f>4344/1000</f>
        <v>4.3440000000000003</v>
      </c>
      <c r="BT126" s="18">
        <f>20110/1000</f>
        <v>20.11</v>
      </c>
      <c r="BU126" s="18">
        <v>0</v>
      </c>
      <c r="BV126" s="18">
        <f t="shared" si="4"/>
        <v>110.809</v>
      </c>
      <c r="BW126" s="15">
        <f t="shared" si="3"/>
        <v>110.809</v>
      </c>
      <c r="BY126" s="18" t="s">
        <v>5134</v>
      </c>
      <c r="BZ126" s="18" t="s">
        <v>5688</v>
      </c>
      <c r="CD126" s="18" t="s">
        <v>5127</v>
      </c>
      <c r="CE126" s="18" t="s">
        <v>5127</v>
      </c>
      <c r="CF126" s="18" t="s">
        <v>5135</v>
      </c>
      <c r="CG126" s="18" t="s">
        <v>5550</v>
      </c>
      <c r="CH126" s="18" t="s">
        <v>5556</v>
      </c>
      <c r="CI126" s="18" t="s">
        <v>5195</v>
      </c>
      <c r="CJ126" s="18" t="s">
        <v>5196</v>
      </c>
      <c r="CK126" s="18" t="s">
        <v>5341</v>
      </c>
      <c r="CL126" s="18">
        <v>0</v>
      </c>
      <c r="CM126" s="18">
        <v>1</v>
      </c>
      <c r="CN126" s="18">
        <v>0</v>
      </c>
      <c r="CO126" s="18">
        <v>1</v>
      </c>
      <c r="CP126" s="18">
        <v>0</v>
      </c>
      <c r="CQ126" s="18">
        <v>0</v>
      </c>
      <c r="CR126" s="18" t="s">
        <v>5141</v>
      </c>
      <c r="CS126" s="18" t="s">
        <v>5141</v>
      </c>
      <c r="CT126" s="18">
        <v>0</v>
      </c>
      <c r="CU126" s="18">
        <v>0</v>
      </c>
      <c r="CV126" s="18">
        <v>0</v>
      </c>
      <c r="CX126" s="18">
        <v>1</v>
      </c>
      <c r="CY126" s="18">
        <v>1</v>
      </c>
      <c r="CZ126" s="18">
        <v>1</v>
      </c>
      <c r="DA126" s="18">
        <v>0</v>
      </c>
      <c r="DB126" s="18">
        <v>1</v>
      </c>
      <c r="DC126" s="18">
        <v>1</v>
      </c>
      <c r="DD126" s="18">
        <v>1</v>
      </c>
      <c r="DE126" s="18" t="s">
        <v>5141</v>
      </c>
      <c r="DF126" s="18" t="s">
        <v>5141</v>
      </c>
      <c r="DG126" s="18">
        <v>1</v>
      </c>
      <c r="DH126" s="18" t="s">
        <v>5141</v>
      </c>
      <c r="DI126" s="18">
        <v>1</v>
      </c>
      <c r="DK126" s="18">
        <v>0</v>
      </c>
      <c r="DL126" s="18">
        <v>0</v>
      </c>
      <c r="DM126" s="18" t="s">
        <v>5127</v>
      </c>
      <c r="DN126" s="18" t="s">
        <v>5258</v>
      </c>
      <c r="DO126" s="18" t="s">
        <v>5488</v>
      </c>
      <c r="DP126" s="18" t="s">
        <v>106</v>
      </c>
      <c r="DS126" s="18">
        <v>0</v>
      </c>
      <c r="DT126" s="18">
        <v>1</v>
      </c>
      <c r="DU126" s="18">
        <v>1</v>
      </c>
      <c r="DV126" s="18" t="s">
        <v>5342</v>
      </c>
      <c r="DX126" s="18" t="s">
        <v>5222</v>
      </c>
      <c r="DY126" s="18" t="s">
        <v>106</v>
      </c>
      <c r="DZ126" s="18" t="s">
        <v>106</v>
      </c>
      <c r="EA126" s="18" t="s">
        <v>5146</v>
      </c>
      <c r="EB126" s="18">
        <v>110809</v>
      </c>
      <c r="EC126" s="18" t="s">
        <v>106</v>
      </c>
      <c r="ED126" s="18" t="s">
        <v>5176</v>
      </c>
      <c r="EE126" s="18" t="s">
        <v>106</v>
      </c>
      <c r="EF126" s="18" t="s">
        <v>106</v>
      </c>
      <c r="EH126" s="18" t="s">
        <v>5203</v>
      </c>
      <c r="EI126" s="18" t="s">
        <v>5204</v>
      </c>
      <c r="EJ126" s="18" t="s">
        <v>5245</v>
      </c>
      <c r="EN126" s="18" t="s">
        <v>113</v>
      </c>
      <c r="EO126" s="18" t="s">
        <v>113</v>
      </c>
      <c r="EP126" s="18" t="s">
        <v>113</v>
      </c>
      <c r="EQ126" s="18" t="s">
        <v>113</v>
      </c>
      <c r="ER126" s="18" t="s">
        <v>5289</v>
      </c>
      <c r="ES126" s="18" t="s">
        <v>5737</v>
      </c>
      <c r="ET126" s="18" t="s">
        <v>5154</v>
      </c>
      <c r="EU126" s="18" t="s">
        <v>5318</v>
      </c>
      <c r="EV126" s="18" t="s">
        <v>5730</v>
      </c>
      <c r="EW126" s="18" t="s">
        <v>5247</v>
      </c>
      <c r="EX126" s="18" t="s">
        <v>5158</v>
      </c>
      <c r="EY126" s="18" t="s">
        <v>5159</v>
      </c>
      <c r="EZ126" s="18" t="s">
        <v>5182</v>
      </c>
      <c r="FA126" s="18" t="s">
        <v>144</v>
      </c>
      <c r="FB126" s="18" t="s">
        <v>5161</v>
      </c>
    </row>
    <row r="127" spans="1:158" ht="10.5" customHeight="1" x14ac:dyDescent="0.2">
      <c r="A127" s="16">
        <v>41</v>
      </c>
      <c r="B127" s="16" t="s">
        <v>1476</v>
      </c>
      <c r="C127" s="16" t="s">
        <v>108</v>
      </c>
      <c r="D127" s="16">
        <v>1829225</v>
      </c>
      <c r="E127" s="16" t="s">
        <v>6660</v>
      </c>
      <c r="F127" s="18" t="s">
        <v>108</v>
      </c>
      <c r="G127" s="18" t="s">
        <v>106</v>
      </c>
      <c r="H127" s="15" t="s">
        <v>5127</v>
      </c>
      <c r="I127" s="18">
        <v>17</v>
      </c>
      <c r="J127" s="18">
        <v>9</v>
      </c>
      <c r="K127" s="18">
        <v>8</v>
      </c>
      <c r="M127" s="18" t="s">
        <v>5183</v>
      </c>
      <c r="N127" s="18">
        <v>23003165</v>
      </c>
      <c r="O127" s="18">
        <v>46173</v>
      </c>
      <c r="T127" s="18" t="s">
        <v>111</v>
      </c>
      <c r="U127" s="18" t="s">
        <v>5185</v>
      </c>
      <c r="V127" s="18" t="s">
        <v>106</v>
      </c>
      <c r="W127" s="18" t="s">
        <v>5124</v>
      </c>
      <c r="Y127" s="18" t="s">
        <v>5740</v>
      </c>
      <c r="Z127" s="18" t="s">
        <v>106</v>
      </c>
      <c r="AA127" s="18" t="s">
        <v>5267</v>
      </c>
      <c r="AB127" s="18" t="s">
        <v>179</v>
      </c>
      <c r="AC127" s="18" t="s">
        <v>5127</v>
      </c>
      <c r="AD127" s="18" t="s">
        <v>5127</v>
      </c>
      <c r="AE127" s="18" t="s">
        <v>5127</v>
      </c>
      <c r="AF127" s="18" t="s">
        <v>5127</v>
      </c>
      <c r="AG127" s="18" t="s">
        <v>5127</v>
      </c>
      <c r="AH127" s="18" t="s">
        <v>111</v>
      </c>
      <c r="AI127" s="18">
        <v>1</v>
      </c>
      <c r="AK127" s="18" t="s">
        <v>5164</v>
      </c>
      <c r="AN127" s="18">
        <v>524241</v>
      </c>
      <c r="AO127" s="18" t="s">
        <v>5165</v>
      </c>
      <c r="AP127" s="18" t="s">
        <v>5741</v>
      </c>
      <c r="AQ127" s="18" t="s">
        <v>5311</v>
      </c>
      <c r="AR127" s="18" t="s">
        <v>5727</v>
      </c>
      <c r="AT127" s="17">
        <f>(365*D127*0.7)/1000</f>
        <v>467366.98749999999</v>
      </c>
      <c r="AU127" s="17">
        <f t="shared" si="2"/>
        <v>157.27199999999999</v>
      </c>
      <c r="AV127" s="18">
        <f>27440/1000</f>
        <v>27.44</v>
      </c>
      <c r="AW127" s="18">
        <f>129832/1000</f>
        <v>129.83199999999999</v>
      </c>
      <c r="AY127" s="18" t="s">
        <v>5728</v>
      </c>
      <c r="BG127" s="18" t="s">
        <v>5133</v>
      </c>
      <c r="BQ127" s="18">
        <f>220182/1000</f>
        <v>220.18199999999999</v>
      </c>
      <c r="BR127" s="18">
        <f>78493/1000</f>
        <v>78.492999999999995</v>
      </c>
      <c r="BS127" s="18">
        <f>26114/1000</f>
        <v>26.114000000000001</v>
      </c>
      <c r="BT127" s="18">
        <f>42180/1000</f>
        <v>42.18</v>
      </c>
      <c r="BU127" s="18">
        <v>0</v>
      </c>
      <c r="BV127" s="18">
        <f t="shared" si="4"/>
        <v>366.96899999999994</v>
      </c>
      <c r="BW127" s="15">
        <f t="shared" si="3"/>
        <v>366.96899999999994</v>
      </c>
      <c r="BY127" s="18" t="s">
        <v>5134</v>
      </c>
      <c r="BZ127" s="18" t="s">
        <v>5688</v>
      </c>
      <c r="CD127" s="18" t="s">
        <v>5127</v>
      </c>
      <c r="CE127" s="18" t="s">
        <v>5127</v>
      </c>
      <c r="CF127" s="18" t="s">
        <v>5135</v>
      </c>
      <c r="CG127" s="18" t="s">
        <v>5550</v>
      </c>
      <c r="CH127" s="18" t="s">
        <v>5556</v>
      </c>
      <c r="CI127" s="18" t="s">
        <v>5195</v>
      </c>
      <c r="CJ127" s="18" t="s">
        <v>5196</v>
      </c>
      <c r="CK127" s="18" t="s">
        <v>5341</v>
      </c>
      <c r="CL127" s="18">
        <v>1</v>
      </c>
      <c r="CM127" s="18">
        <v>1</v>
      </c>
      <c r="CN127" s="18">
        <v>0</v>
      </c>
      <c r="CO127" s="18">
        <v>1</v>
      </c>
      <c r="CP127" s="18">
        <v>1</v>
      </c>
      <c r="CQ127" s="18">
        <v>1</v>
      </c>
      <c r="CR127" s="18" t="s">
        <v>5141</v>
      </c>
      <c r="CS127" s="18" t="s">
        <v>5141</v>
      </c>
      <c r="CT127" s="18">
        <v>1</v>
      </c>
      <c r="CU127" s="18">
        <v>1</v>
      </c>
      <c r="CV127" s="18">
        <v>1</v>
      </c>
      <c r="CX127" s="18">
        <v>1</v>
      </c>
      <c r="CY127" s="18">
        <v>1</v>
      </c>
      <c r="CZ127" s="18">
        <v>1</v>
      </c>
      <c r="DA127" s="18">
        <v>0</v>
      </c>
      <c r="DB127" s="18">
        <v>1</v>
      </c>
      <c r="DC127" s="18">
        <v>1</v>
      </c>
      <c r="DD127" s="18">
        <v>1</v>
      </c>
      <c r="DE127" s="18" t="s">
        <v>5141</v>
      </c>
      <c r="DF127" s="18" t="s">
        <v>5141</v>
      </c>
      <c r="DG127" s="18">
        <v>0</v>
      </c>
      <c r="DH127" s="18">
        <v>1</v>
      </c>
      <c r="DI127" s="18">
        <v>1</v>
      </c>
      <c r="DK127" s="18">
        <v>0</v>
      </c>
      <c r="DL127" s="18">
        <v>0</v>
      </c>
      <c r="DM127" s="18" t="s">
        <v>5127</v>
      </c>
      <c r="DN127" s="18" t="s">
        <v>5314</v>
      </c>
      <c r="DO127" s="18" t="s">
        <v>5742</v>
      </c>
      <c r="DP127" s="18" t="s">
        <v>106</v>
      </c>
      <c r="DQ127" s="18" t="s">
        <v>5727</v>
      </c>
      <c r="DS127" s="18">
        <v>0</v>
      </c>
      <c r="DT127" s="18">
        <v>1</v>
      </c>
      <c r="DU127" s="18">
        <v>1</v>
      </c>
      <c r="DV127" s="18" t="s">
        <v>5342</v>
      </c>
      <c r="DX127" s="18" t="s">
        <v>5222</v>
      </c>
      <c r="DY127" s="18" t="s">
        <v>106</v>
      </c>
      <c r="DZ127" s="18" t="s">
        <v>106</v>
      </c>
      <c r="EA127" s="18" t="s">
        <v>5175</v>
      </c>
      <c r="EB127" s="18">
        <v>366969</v>
      </c>
      <c r="EC127" s="18" t="s">
        <v>106</v>
      </c>
      <c r="ED127" s="18" t="s">
        <v>5176</v>
      </c>
      <c r="EE127" s="18" t="s">
        <v>106</v>
      </c>
      <c r="EF127" s="18" t="s">
        <v>106</v>
      </c>
      <c r="EH127" s="18" t="s">
        <v>5203</v>
      </c>
      <c r="EI127" s="18" t="s">
        <v>5204</v>
      </c>
      <c r="EJ127" s="18" t="s">
        <v>5245</v>
      </c>
      <c r="EN127" s="18" t="s">
        <v>106</v>
      </c>
      <c r="EO127" s="18" t="s">
        <v>113</v>
      </c>
      <c r="EP127" s="18" t="s">
        <v>113</v>
      </c>
      <c r="EQ127" s="18" t="s">
        <v>113</v>
      </c>
      <c r="ER127" s="18" t="s">
        <v>5328</v>
      </c>
      <c r="ES127" s="18" t="s">
        <v>5498</v>
      </c>
      <c r="ET127" s="18" t="s">
        <v>5154</v>
      </c>
      <c r="EU127" s="18" t="s">
        <v>5318</v>
      </c>
      <c r="EV127" s="18" t="s">
        <v>5730</v>
      </c>
      <c r="EW127" s="18" t="s">
        <v>5247</v>
      </c>
      <c r="EX127" s="18" t="s">
        <v>5158</v>
      </c>
      <c r="EY127" s="18" t="s">
        <v>5181</v>
      </c>
      <c r="EZ127" s="18" t="s">
        <v>5182</v>
      </c>
      <c r="FA127" s="18" t="s">
        <v>144</v>
      </c>
      <c r="FB127" s="18" t="s">
        <v>5161</v>
      </c>
    </row>
    <row r="128" spans="1:158" ht="10.5" customHeight="1" x14ac:dyDescent="0.2">
      <c r="A128" s="16">
        <v>41</v>
      </c>
      <c r="B128" s="16" t="s">
        <v>1476</v>
      </c>
      <c r="C128" s="16" t="s">
        <v>108</v>
      </c>
      <c r="D128" s="16">
        <v>1829225</v>
      </c>
      <c r="E128" s="16" t="s">
        <v>6660</v>
      </c>
      <c r="F128" s="18" t="s">
        <v>108</v>
      </c>
      <c r="G128" s="18" t="s">
        <v>106</v>
      </c>
      <c r="H128" s="15" t="s">
        <v>5127</v>
      </c>
      <c r="I128" s="18">
        <v>15</v>
      </c>
      <c r="J128" s="18">
        <v>8</v>
      </c>
      <c r="K128" s="18">
        <v>7</v>
      </c>
      <c r="M128" s="18" t="s">
        <v>5183</v>
      </c>
      <c r="N128" s="18">
        <v>23004413</v>
      </c>
      <c r="O128" s="18">
        <v>46044</v>
      </c>
      <c r="T128" s="18" t="s">
        <v>5240</v>
      </c>
      <c r="U128" s="18" t="s">
        <v>5185</v>
      </c>
      <c r="V128" s="18" t="s">
        <v>106</v>
      </c>
      <c r="W128" s="18" t="s">
        <v>5124</v>
      </c>
      <c r="Y128" s="18" t="s">
        <v>5162</v>
      </c>
      <c r="Z128" s="18" t="s">
        <v>106</v>
      </c>
      <c r="AA128" s="18" t="s">
        <v>5267</v>
      </c>
      <c r="AB128" s="18" t="s">
        <v>179</v>
      </c>
      <c r="AC128" s="18" t="s">
        <v>5127</v>
      </c>
      <c r="AD128" s="18" t="s">
        <v>5127</v>
      </c>
      <c r="AE128" s="18" t="s">
        <v>5127</v>
      </c>
      <c r="AF128" s="18" t="s">
        <v>5127</v>
      </c>
      <c r="AG128" s="18" t="s">
        <v>5127</v>
      </c>
      <c r="AH128" s="18" t="s">
        <v>111</v>
      </c>
      <c r="AI128" s="18">
        <v>1</v>
      </c>
      <c r="AK128" s="18" t="s">
        <v>5164</v>
      </c>
      <c r="AN128" s="18">
        <v>488857</v>
      </c>
      <c r="AO128" s="18" t="s">
        <v>5165</v>
      </c>
      <c r="AP128" s="18" t="s">
        <v>5456</v>
      </c>
      <c r="AQ128" s="18" t="s">
        <v>5311</v>
      </c>
      <c r="AR128" s="18" t="s">
        <v>5727</v>
      </c>
      <c r="AT128" s="17">
        <f>(365*D128*0.7)/1000</f>
        <v>467366.98749999999</v>
      </c>
      <c r="AU128" s="17">
        <f t="shared" si="2"/>
        <v>146.65700000000001</v>
      </c>
      <c r="AV128" s="18">
        <f>47936/1000</f>
        <v>47.936</v>
      </c>
      <c r="AW128" s="18">
        <f>98721/1000</f>
        <v>98.721000000000004</v>
      </c>
      <c r="AY128" s="18" t="s">
        <v>5743</v>
      </c>
      <c r="BG128" s="18" t="s">
        <v>5133</v>
      </c>
      <c r="BQ128" s="18">
        <f>192744/1000</f>
        <v>192.744</v>
      </c>
      <c r="BR128" s="18">
        <f>43556/1000</f>
        <v>43.555999999999997</v>
      </c>
      <c r="BS128" s="18">
        <f>43000/1000</f>
        <v>43</v>
      </c>
      <c r="BT128" s="18">
        <f>62900/1000</f>
        <v>62.9</v>
      </c>
      <c r="BU128" s="18">
        <v>0</v>
      </c>
      <c r="BV128" s="18">
        <f t="shared" si="4"/>
        <v>342.2</v>
      </c>
      <c r="BW128" s="15">
        <f t="shared" si="3"/>
        <v>342.2</v>
      </c>
      <c r="BY128" s="18" t="s">
        <v>5134</v>
      </c>
      <c r="BZ128" s="18" t="s">
        <v>5688</v>
      </c>
      <c r="CD128" s="18" t="s">
        <v>5127</v>
      </c>
      <c r="CE128" s="18" t="s">
        <v>5127</v>
      </c>
      <c r="CF128" s="18" t="s">
        <v>5135</v>
      </c>
      <c r="CG128" s="18" t="s">
        <v>5550</v>
      </c>
      <c r="CH128" s="18" t="s">
        <v>5556</v>
      </c>
      <c r="CI128" s="18" t="s">
        <v>5195</v>
      </c>
      <c r="CJ128" s="18" t="s">
        <v>5196</v>
      </c>
      <c r="CK128" s="18" t="s">
        <v>5341</v>
      </c>
      <c r="CL128" s="18">
        <v>0</v>
      </c>
      <c r="CM128" s="18">
        <v>1</v>
      </c>
      <c r="CN128" s="18">
        <v>0</v>
      </c>
      <c r="CO128" s="18">
        <v>1</v>
      </c>
      <c r="CP128" s="18">
        <v>0</v>
      </c>
      <c r="CQ128" s="18">
        <v>1</v>
      </c>
      <c r="CR128" s="18" t="s">
        <v>5141</v>
      </c>
      <c r="CS128" s="18" t="s">
        <v>5141</v>
      </c>
      <c r="CT128" s="18">
        <v>0</v>
      </c>
      <c r="CU128" s="18">
        <v>1</v>
      </c>
      <c r="CV128" s="18">
        <v>0</v>
      </c>
      <c r="CX128" s="18">
        <v>1</v>
      </c>
      <c r="CY128" s="18">
        <v>0</v>
      </c>
      <c r="CZ128" s="18">
        <v>1</v>
      </c>
      <c r="DA128" s="18">
        <v>0</v>
      </c>
      <c r="DB128" s="18">
        <v>1</v>
      </c>
      <c r="DC128" s="18">
        <v>1</v>
      </c>
      <c r="DD128" s="18">
        <v>1</v>
      </c>
      <c r="DE128" s="18" t="s">
        <v>5141</v>
      </c>
      <c r="DF128" s="18" t="s">
        <v>5141</v>
      </c>
      <c r="DG128" s="18">
        <v>1</v>
      </c>
      <c r="DH128" s="18">
        <v>1</v>
      </c>
      <c r="DI128" s="18">
        <v>1</v>
      </c>
      <c r="DK128" s="18">
        <v>0</v>
      </c>
      <c r="DL128" s="18">
        <v>0</v>
      </c>
      <c r="DM128" s="18" t="s">
        <v>5127</v>
      </c>
      <c r="DN128" s="18" t="s">
        <v>5172</v>
      </c>
      <c r="DO128" s="18" t="s">
        <v>5742</v>
      </c>
      <c r="DP128" s="18" t="s">
        <v>106</v>
      </c>
      <c r="DQ128" s="18" t="s">
        <v>5727</v>
      </c>
      <c r="DS128" s="18">
        <v>0</v>
      </c>
      <c r="DT128" s="18">
        <v>1</v>
      </c>
      <c r="DU128" s="18">
        <v>1</v>
      </c>
      <c r="DV128" s="18" t="s">
        <v>5342</v>
      </c>
      <c r="DX128" s="18" t="s">
        <v>5222</v>
      </c>
      <c r="DY128" s="18" t="s">
        <v>106</v>
      </c>
      <c r="DZ128" s="18" t="s">
        <v>106</v>
      </c>
      <c r="EA128" s="18" t="s">
        <v>5175</v>
      </c>
      <c r="EB128" s="18">
        <v>342200</v>
      </c>
      <c r="EC128" s="18" t="s">
        <v>106</v>
      </c>
      <c r="ED128" s="18" t="s">
        <v>5176</v>
      </c>
      <c r="EE128" s="18" t="s">
        <v>106</v>
      </c>
      <c r="EF128" s="18" t="s">
        <v>106</v>
      </c>
      <c r="EH128" s="18" t="s">
        <v>5203</v>
      </c>
      <c r="EI128" s="18" t="s">
        <v>5204</v>
      </c>
      <c r="EJ128" s="18" t="s">
        <v>5245</v>
      </c>
      <c r="EN128" s="18" t="s">
        <v>106</v>
      </c>
      <c r="EO128" s="18" t="s">
        <v>113</v>
      </c>
      <c r="EP128" s="18" t="s">
        <v>113</v>
      </c>
      <c r="EQ128" s="18" t="s">
        <v>113</v>
      </c>
      <c r="ER128" s="18" t="s">
        <v>5289</v>
      </c>
      <c r="ES128" s="18" t="s">
        <v>5744</v>
      </c>
      <c r="ET128" s="18" t="s">
        <v>5154</v>
      </c>
      <c r="EU128" s="18" t="s">
        <v>5155</v>
      </c>
      <c r="EV128" s="18" t="s">
        <v>5730</v>
      </c>
      <c r="EW128" s="18" t="s">
        <v>5247</v>
      </c>
      <c r="EX128" s="18" t="s">
        <v>5158</v>
      </c>
      <c r="EY128" s="18" t="s">
        <v>5159</v>
      </c>
      <c r="EZ128" s="18" t="s">
        <v>5182</v>
      </c>
      <c r="FA128" s="18" t="s">
        <v>144</v>
      </c>
      <c r="FB128" s="18" t="s">
        <v>5161</v>
      </c>
    </row>
    <row r="129" spans="1:158" ht="10.5" customHeight="1" x14ac:dyDescent="0.2">
      <c r="A129" s="16">
        <v>41</v>
      </c>
      <c r="B129" s="16" t="s">
        <v>1476</v>
      </c>
      <c r="C129" s="16" t="s">
        <v>108</v>
      </c>
      <c r="D129" s="16">
        <v>1829225</v>
      </c>
      <c r="E129" s="16" t="s">
        <v>6660</v>
      </c>
      <c r="F129" s="18" t="s">
        <v>108</v>
      </c>
      <c r="G129" s="18" t="s">
        <v>106</v>
      </c>
      <c r="H129" s="15" t="s">
        <v>5127</v>
      </c>
      <c r="I129" s="18">
        <v>15</v>
      </c>
      <c r="J129" s="18">
        <v>8</v>
      </c>
      <c r="K129" s="18">
        <v>7</v>
      </c>
      <c r="M129" s="18" t="s">
        <v>5230</v>
      </c>
      <c r="N129" s="18">
        <v>23004413</v>
      </c>
      <c r="O129" s="18">
        <v>46044</v>
      </c>
      <c r="T129" s="18" t="s">
        <v>5240</v>
      </c>
      <c r="U129" s="18" t="s">
        <v>5185</v>
      </c>
      <c r="V129" s="18" t="s">
        <v>106</v>
      </c>
      <c r="W129" s="18" t="s">
        <v>5124</v>
      </c>
      <c r="Y129" s="18" t="s">
        <v>5162</v>
      </c>
      <c r="Z129" s="18" t="s">
        <v>106</v>
      </c>
      <c r="AA129" s="18" t="s">
        <v>5267</v>
      </c>
      <c r="AC129" s="18" t="s">
        <v>5127</v>
      </c>
      <c r="AD129" s="18" t="s">
        <v>5127</v>
      </c>
      <c r="AE129" s="18" t="s">
        <v>5127</v>
      </c>
      <c r="AF129" s="18" t="s">
        <v>5127</v>
      </c>
      <c r="AG129" s="18" t="s">
        <v>5127</v>
      </c>
      <c r="AH129" s="18" t="s">
        <v>111</v>
      </c>
      <c r="AI129" s="18">
        <v>0</v>
      </c>
      <c r="AK129" s="18" t="s">
        <v>5164</v>
      </c>
      <c r="AN129" s="18">
        <v>488857</v>
      </c>
      <c r="AO129" s="18" t="s">
        <v>5129</v>
      </c>
      <c r="AP129" s="18" t="s">
        <v>5456</v>
      </c>
      <c r="AQ129" s="18" t="s">
        <v>5311</v>
      </c>
      <c r="AR129" s="18" t="s">
        <v>5727</v>
      </c>
      <c r="AT129" s="17">
        <f>(365*D129*0.7)/1000</f>
        <v>467366.98749999999</v>
      </c>
      <c r="AU129" s="17">
        <f t="shared" si="2"/>
        <v>146.65699999999998</v>
      </c>
      <c r="AV129" s="18">
        <f>64722/1000</f>
        <v>64.721999999999994</v>
      </c>
      <c r="AW129" s="18">
        <f>81935/1000</f>
        <v>81.935000000000002</v>
      </c>
      <c r="AY129" s="18" t="s">
        <v>5745</v>
      </c>
      <c r="BG129" s="18" t="s">
        <v>5133</v>
      </c>
      <c r="BQ129" s="18">
        <f>192744/1000</f>
        <v>192.744</v>
      </c>
      <c r="BR129" s="18">
        <f>43556/1000</f>
        <v>43.555999999999997</v>
      </c>
      <c r="BS129" s="18">
        <f>43000/1000</f>
        <v>43</v>
      </c>
      <c r="BT129" s="18">
        <f>62900/1000</f>
        <v>62.9</v>
      </c>
      <c r="BU129" s="18">
        <v>0</v>
      </c>
      <c r="BV129" s="18">
        <f t="shared" si="4"/>
        <v>342.2</v>
      </c>
      <c r="BW129" s="15">
        <f t="shared" si="3"/>
        <v>342.2</v>
      </c>
      <c r="BY129" s="18" t="s">
        <v>5134</v>
      </c>
      <c r="BZ129" s="18" t="s">
        <v>5688</v>
      </c>
      <c r="CD129" s="18" t="s">
        <v>5127</v>
      </c>
      <c r="CE129" s="18" t="s">
        <v>5127</v>
      </c>
      <c r="CF129" s="18" t="s">
        <v>5135</v>
      </c>
      <c r="CG129" s="18" t="s">
        <v>5746</v>
      </c>
      <c r="CH129" s="18" t="s">
        <v>5556</v>
      </c>
      <c r="CI129" s="18" t="s">
        <v>5195</v>
      </c>
      <c r="CJ129" s="18" t="s">
        <v>5196</v>
      </c>
      <c r="CK129" s="18" t="s">
        <v>5341</v>
      </c>
      <c r="CL129" s="18">
        <v>0</v>
      </c>
      <c r="CM129" s="18">
        <v>1</v>
      </c>
      <c r="CN129" s="18">
        <v>0</v>
      </c>
      <c r="CO129" s="18">
        <v>1</v>
      </c>
      <c r="CP129" s="18">
        <v>0</v>
      </c>
      <c r="CQ129" s="18">
        <v>0</v>
      </c>
      <c r="CR129" s="18" t="s">
        <v>5141</v>
      </c>
      <c r="CS129" s="18" t="s">
        <v>5141</v>
      </c>
      <c r="CT129" s="18">
        <v>0</v>
      </c>
      <c r="CU129" s="18">
        <v>1</v>
      </c>
      <c r="CV129" s="18">
        <v>1</v>
      </c>
      <c r="CX129" s="18">
        <v>1</v>
      </c>
      <c r="CY129" s="18">
        <v>1</v>
      </c>
      <c r="CZ129" s="18">
        <v>1</v>
      </c>
      <c r="DA129" s="18">
        <v>1</v>
      </c>
      <c r="DB129" s="18">
        <v>1</v>
      </c>
      <c r="DC129" s="18">
        <v>1</v>
      </c>
      <c r="DD129" s="18">
        <v>1</v>
      </c>
      <c r="DE129" s="18" t="s">
        <v>5141</v>
      </c>
      <c r="DF129" s="18" t="s">
        <v>5141</v>
      </c>
      <c r="DG129" s="18">
        <v>1</v>
      </c>
      <c r="DH129" s="18">
        <v>1</v>
      </c>
      <c r="DI129" s="18">
        <v>1</v>
      </c>
      <c r="DK129" s="18">
        <v>0</v>
      </c>
      <c r="DL129" s="18">
        <v>0</v>
      </c>
      <c r="DM129" s="18" t="s">
        <v>5127</v>
      </c>
      <c r="DN129" s="18" t="s">
        <v>5258</v>
      </c>
      <c r="DO129" s="18" t="s">
        <v>5742</v>
      </c>
      <c r="DP129" s="18" t="s">
        <v>106</v>
      </c>
      <c r="DQ129" s="18" t="s">
        <v>5464</v>
      </c>
      <c r="DS129" s="18">
        <v>0</v>
      </c>
      <c r="DT129" s="18">
        <v>1</v>
      </c>
      <c r="DU129" s="18">
        <v>1</v>
      </c>
      <c r="DV129" s="18" t="s">
        <v>5342</v>
      </c>
      <c r="DX129" s="18" t="s">
        <v>5222</v>
      </c>
      <c r="DY129" s="18" t="s">
        <v>106</v>
      </c>
      <c r="DZ129" s="18" t="s">
        <v>106</v>
      </c>
      <c r="EA129" s="18" t="s">
        <v>5175</v>
      </c>
      <c r="EB129" s="18">
        <v>342200</v>
      </c>
      <c r="EC129" s="18" t="s">
        <v>106</v>
      </c>
      <c r="ED129" s="18" t="s">
        <v>5176</v>
      </c>
      <c r="EE129" s="18" t="s">
        <v>106</v>
      </c>
      <c r="EF129" s="18" t="s">
        <v>106</v>
      </c>
      <c r="EG129" s="18" t="s">
        <v>5148</v>
      </c>
      <c r="EH129" s="18" t="s">
        <v>5203</v>
      </c>
      <c r="EI129" s="18" t="s">
        <v>5204</v>
      </c>
      <c r="EJ129" s="18" t="s">
        <v>5245</v>
      </c>
      <c r="EN129" s="18" t="s">
        <v>106</v>
      </c>
      <c r="EO129" s="18" t="s">
        <v>113</v>
      </c>
      <c r="EP129" s="18" t="s">
        <v>113</v>
      </c>
      <c r="EQ129" s="18" t="s">
        <v>113</v>
      </c>
      <c r="ER129" s="18" t="s">
        <v>5328</v>
      </c>
      <c r="ES129" s="18" t="s">
        <v>5731</v>
      </c>
      <c r="ET129" s="18" t="s">
        <v>5154</v>
      </c>
      <c r="EU129" s="18" t="s">
        <v>5155</v>
      </c>
      <c r="EV129" s="18" t="s">
        <v>5730</v>
      </c>
      <c r="EW129" s="18" t="s">
        <v>5247</v>
      </c>
      <c r="EX129" s="18" t="s">
        <v>5158</v>
      </c>
      <c r="EY129" s="18" t="s">
        <v>5159</v>
      </c>
      <c r="EZ129" s="18" t="s">
        <v>5182</v>
      </c>
      <c r="FA129" s="18" t="s">
        <v>144</v>
      </c>
      <c r="FB129" s="18" t="s">
        <v>5161</v>
      </c>
    </row>
    <row r="130" spans="1:158" ht="10.5" customHeight="1" x14ac:dyDescent="0.2">
      <c r="A130" s="16">
        <v>41</v>
      </c>
      <c r="B130" s="16" t="s">
        <v>1476</v>
      </c>
      <c r="C130" s="16" t="s">
        <v>108</v>
      </c>
      <c r="D130" s="16">
        <v>1829225</v>
      </c>
      <c r="E130" s="16" t="s">
        <v>6660</v>
      </c>
      <c r="F130" s="18" t="s">
        <v>108</v>
      </c>
      <c r="G130" s="18" t="s">
        <v>106</v>
      </c>
      <c r="H130" s="15" t="s">
        <v>5127</v>
      </c>
      <c r="I130" s="18">
        <v>20</v>
      </c>
      <c r="J130" s="18">
        <v>16</v>
      </c>
      <c r="K130" s="18">
        <v>4</v>
      </c>
      <c r="M130" s="18" t="s">
        <v>5121</v>
      </c>
      <c r="N130" s="18">
        <v>24001046</v>
      </c>
      <c r="O130" s="18">
        <v>46101</v>
      </c>
      <c r="T130" s="18" t="s">
        <v>5726</v>
      </c>
      <c r="U130" s="18" t="s">
        <v>5185</v>
      </c>
      <c r="V130" s="18" t="s">
        <v>106</v>
      </c>
      <c r="W130" s="18" t="s">
        <v>5124</v>
      </c>
      <c r="Y130" s="18" t="s">
        <v>5574</v>
      </c>
      <c r="Z130" s="18" t="s">
        <v>106</v>
      </c>
      <c r="AA130" s="18" t="s">
        <v>5267</v>
      </c>
      <c r="AC130" s="18" t="s">
        <v>5127</v>
      </c>
      <c r="AD130" s="18" t="s">
        <v>5127</v>
      </c>
      <c r="AE130" s="18" t="s">
        <v>5127</v>
      </c>
      <c r="AF130" s="18" t="s">
        <v>5127</v>
      </c>
      <c r="AG130" s="18" t="s">
        <v>5127</v>
      </c>
      <c r="AH130" s="18" t="s">
        <v>111</v>
      </c>
      <c r="AI130" s="18">
        <v>1</v>
      </c>
      <c r="AK130" s="18" t="s">
        <v>5164</v>
      </c>
      <c r="AN130" s="18">
        <v>688321</v>
      </c>
      <c r="AO130" s="18" t="s">
        <v>5165</v>
      </c>
      <c r="AP130" s="18" t="s">
        <v>5456</v>
      </c>
      <c r="AQ130" s="18" t="s">
        <v>5311</v>
      </c>
      <c r="AR130" s="18" t="s">
        <v>5727</v>
      </c>
      <c r="AT130" s="17">
        <f>(365*D130*0.7)/1000</f>
        <v>467366.98749999999</v>
      </c>
      <c r="AU130" s="17">
        <f t="shared" si="2"/>
        <v>206.49600000000001</v>
      </c>
      <c r="AV130" s="18">
        <f>52816/1000</f>
        <v>52.816000000000003</v>
      </c>
      <c r="AW130" s="18">
        <f>153680/1000</f>
        <v>153.68</v>
      </c>
      <c r="AY130" s="18" t="s">
        <v>5747</v>
      </c>
      <c r="BG130" s="18" t="s">
        <v>5281</v>
      </c>
      <c r="BQ130" s="18">
        <f>202755/1000</f>
        <v>202.755</v>
      </c>
      <c r="BR130" s="18">
        <f>88175/1000</f>
        <v>88.174999999999997</v>
      </c>
      <c r="BS130" s="18">
        <f>37525/1000</f>
        <v>37.524999999999999</v>
      </c>
      <c r="BT130" s="18">
        <f>153370/1000</f>
        <v>153.37</v>
      </c>
      <c r="BU130" s="18">
        <v>0</v>
      </c>
      <c r="BV130" s="18">
        <f t="shared" si="4"/>
        <v>481.82499999999999</v>
      </c>
      <c r="BW130" s="15">
        <f t="shared" si="3"/>
        <v>481.82499999999999</v>
      </c>
      <c r="BY130" s="18" t="s">
        <v>5134</v>
      </c>
      <c r="BZ130" s="18" t="s">
        <v>5688</v>
      </c>
      <c r="CD130" s="18" t="s">
        <v>5127</v>
      </c>
      <c r="CE130" s="18" t="s">
        <v>5127</v>
      </c>
      <c r="CF130" s="18" t="s">
        <v>5135</v>
      </c>
      <c r="CG130" s="18" t="s">
        <v>5562</v>
      </c>
      <c r="CH130" s="18" t="s">
        <v>5556</v>
      </c>
      <c r="CI130" s="18" t="s">
        <v>5195</v>
      </c>
      <c r="CJ130" s="18" t="s">
        <v>5196</v>
      </c>
      <c r="CK130" s="18" t="s">
        <v>5341</v>
      </c>
      <c r="CL130" s="18">
        <v>1</v>
      </c>
      <c r="CM130" s="18">
        <v>1</v>
      </c>
      <c r="CN130" s="18">
        <v>0</v>
      </c>
      <c r="CO130" s="18">
        <v>1</v>
      </c>
      <c r="CP130" s="18">
        <v>1</v>
      </c>
      <c r="CQ130" s="18">
        <v>1</v>
      </c>
      <c r="CR130" s="18" t="s">
        <v>5141</v>
      </c>
      <c r="CS130" s="18" t="s">
        <v>5141</v>
      </c>
      <c r="CT130" s="18">
        <v>1</v>
      </c>
      <c r="CU130" s="18">
        <v>1</v>
      </c>
      <c r="CV130" s="18">
        <v>1</v>
      </c>
      <c r="CX130" s="18">
        <v>1</v>
      </c>
      <c r="CY130" s="18">
        <v>1</v>
      </c>
      <c r="CZ130" s="18">
        <v>1</v>
      </c>
      <c r="DA130" s="18">
        <v>1</v>
      </c>
      <c r="DB130" s="18">
        <v>1</v>
      </c>
      <c r="DC130" s="18">
        <v>1</v>
      </c>
      <c r="DD130" s="18">
        <v>1</v>
      </c>
      <c r="DE130" s="18" t="s">
        <v>5141</v>
      </c>
      <c r="DF130" s="18" t="s">
        <v>5141</v>
      </c>
      <c r="DG130" s="18">
        <v>1</v>
      </c>
      <c r="DH130" s="18">
        <v>1</v>
      </c>
      <c r="DI130" s="18">
        <v>1</v>
      </c>
      <c r="DK130" s="18">
        <v>0</v>
      </c>
      <c r="DL130" s="18">
        <v>0</v>
      </c>
      <c r="DM130" s="18" t="s">
        <v>5127</v>
      </c>
      <c r="DN130" s="18" t="s">
        <v>5198</v>
      </c>
      <c r="DO130" s="18" t="s">
        <v>5742</v>
      </c>
      <c r="DP130" s="18" t="s">
        <v>106</v>
      </c>
      <c r="DS130" s="18">
        <v>0</v>
      </c>
      <c r="DT130" s="18">
        <v>1</v>
      </c>
      <c r="DU130" s="18">
        <v>1</v>
      </c>
      <c r="DV130" s="18" t="s">
        <v>5342</v>
      </c>
      <c r="DX130" s="18" t="s">
        <v>5222</v>
      </c>
      <c r="DY130" s="18" t="s">
        <v>106</v>
      </c>
      <c r="DZ130" s="18" t="s">
        <v>106</v>
      </c>
      <c r="EA130" s="18" t="s">
        <v>5175</v>
      </c>
      <c r="EB130" s="18">
        <v>481825</v>
      </c>
      <c r="EC130" s="18" t="s">
        <v>106</v>
      </c>
      <c r="ED130" s="18" t="s">
        <v>5176</v>
      </c>
      <c r="EE130" s="18" t="s">
        <v>106</v>
      </c>
      <c r="EF130" s="18" t="s">
        <v>106</v>
      </c>
      <c r="EG130" s="18" t="s">
        <v>5148</v>
      </c>
      <c r="EH130" s="18" t="s">
        <v>5203</v>
      </c>
      <c r="EI130" s="18" t="s">
        <v>5204</v>
      </c>
      <c r="EJ130" s="18" t="s">
        <v>5245</v>
      </c>
      <c r="EN130" s="18" t="s">
        <v>106</v>
      </c>
      <c r="EO130" s="18" t="s">
        <v>113</v>
      </c>
      <c r="EP130" s="18" t="s">
        <v>113</v>
      </c>
      <c r="EQ130" s="18" t="s">
        <v>113</v>
      </c>
      <c r="ER130" s="18" t="s">
        <v>5328</v>
      </c>
      <c r="ES130" s="18" t="s">
        <v>5498</v>
      </c>
      <c r="ET130" s="18" t="s">
        <v>5154</v>
      </c>
      <c r="EU130" s="18" t="s">
        <v>5318</v>
      </c>
      <c r="EV130" s="18" t="s">
        <v>5730</v>
      </c>
      <c r="EW130" s="18" t="s">
        <v>5247</v>
      </c>
      <c r="EX130" s="18" t="s">
        <v>5158</v>
      </c>
      <c r="EY130" s="18" t="s">
        <v>5159</v>
      </c>
      <c r="EZ130" s="18" t="s">
        <v>5182</v>
      </c>
      <c r="FA130" s="18" t="s">
        <v>144</v>
      </c>
      <c r="FB130" s="18" t="s">
        <v>5161</v>
      </c>
    </row>
    <row r="131" spans="1:158" ht="10.5" customHeight="1" x14ac:dyDescent="0.2">
      <c r="A131" s="16">
        <v>41</v>
      </c>
      <c r="B131" s="16" t="s">
        <v>1476</v>
      </c>
      <c r="C131" s="16" t="s">
        <v>108</v>
      </c>
      <c r="D131" s="16">
        <v>1829225</v>
      </c>
      <c r="E131" s="16" t="s">
        <v>6660</v>
      </c>
      <c r="F131" s="18" t="s">
        <v>108</v>
      </c>
      <c r="G131" s="18" t="s">
        <v>106</v>
      </c>
      <c r="H131" s="15" t="s">
        <v>5127</v>
      </c>
      <c r="I131" s="18">
        <v>20</v>
      </c>
      <c r="J131" s="18">
        <v>15</v>
      </c>
      <c r="K131" s="18">
        <v>5</v>
      </c>
      <c r="M131" s="18" t="s">
        <v>5121</v>
      </c>
      <c r="N131" s="18">
        <v>24002617</v>
      </c>
      <c r="O131" s="18">
        <v>46142</v>
      </c>
      <c r="T131" s="18" t="s">
        <v>111</v>
      </c>
      <c r="U131" s="18" t="s">
        <v>5185</v>
      </c>
      <c r="V131" s="18" t="s">
        <v>106</v>
      </c>
      <c r="W131" s="18" t="s">
        <v>5124</v>
      </c>
      <c r="Y131" s="18" t="s">
        <v>5162</v>
      </c>
      <c r="Z131" s="18" t="s">
        <v>106</v>
      </c>
      <c r="AA131" s="18" t="s">
        <v>5267</v>
      </c>
      <c r="AB131" s="18" t="s">
        <v>179</v>
      </c>
      <c r="AC131" s="18" t="s">
        <v>5127</v>
      </c>
      <c r="AD131" s="18" t="s">
        <v>5127</v>
      </c>
      <c r="AE131" s="18" t="s">
        <v>5127</v>
      </c>
      <c r="AF131" s="18" t="s">
        <v>5127</v>
      </c>
      <c r="AG131" s="18" t="s">
        <v>5127</v>
      </c>
      <c r="AH131" s="18" t="s">
        <v>111</v>
      </c>
      <c r="AI131" s="18">
        <v>1</v>
      </c>
      <c r="AK131" s="18" t="s">
        <v>5164</v>
      </c>
      <c r="AN131" s="18">
        <v>176270</v>
      </c>
      <c r="AO131" s="18" t="s">
        <v>5165</v>
      </c>
      <c r="AP131" s="18" t="s">
        <v>5748</v>
      </c>
      <c r="AQ131" s="18" t="s">
        <v>5311</v>
      </c>
      <c r="AR131" s="18" t="s">
        <v>5727</v>
      </c>
      <c r="AT131" s="17">
        <f>(365*D131*0.7)/1000</f>
        <v>467366.98749999999</v>
      </c>
      <c r="AU131" s="17">
        <f t="shared" ref="AU131:AU194" si="5">SUM(AV131:AX131)</f>
        <v>52.881</v>
      </c>
      <c r="AV131" s="18">
        <f>13218/1000</f>
        <v>13.218</v>
      </c>
      <c r="AW131" s="18">
        <f>39663/1000</f>
        <v>39.662999999999997</v>
      </c>
      <c r="AY131" s="18" t="s">
        <v>5743</v>
      </c>
      <c r="BG131" s="18" t="s">
        <v>5133</v>
      </c>
      <c r="BQ131" s="18">
        <f>42980/1000</f>
        <v>42.98</v>
      </c>
      <c r="BR131" s="18">
        <f>13800/1000</f>
        <v>13.8</v>
      </c>
      <c r="BS131" s="18">
        <f>18799/1000</f>
        <v>18.798999999999999</v>
      </c>
      <c r="BT131" s="18">
        <f>47810/1000</f>
        <v>47.81</v>
      </c>
      <c r="BU131" s="18">
        <v>0</v>
      </c>
      <c r="BV131" s="18">
        <f t="shared" si="4"/>
        <v>123.38900000000001</v>
      </c>
      <c r="BW131" s="15">
        <f t="shared" ref="BW131:BW195" si="6">SUM(BQ131:BU131)</f>
        <v>123.38900000000001</v>
      </c>
      <c r="BY131" s="18" t="s">
        <v>5134</v>
      </c>
      <c r="BZ131" s="18" t="s">
        <v>5688</v>
      </c>
      <c r="CD131" s="18" t="s">
        <v>5127</v>
      </c>
      <c r="CE131" s="18" t="s">
        <v>5127</v>
      </c>
      <c r="CF131" s="18" t="s">
        <v>5135</v>
      </c>
      <c r="CG131" s="18" t="s">
        <v>5749</v>
      </c>
      <c r="CH131" s="18" t="s">
        <v>5556</v>
      </c>
      <c r="CI131" s="18" t="s">
        <v>5195</v>
      </c>
      <c r="CJ131" s="18" t="s">
        <v>5196</v>
      </c>
      <c r="CK131" s="18" t="s">
        <v>5341</v>
      </c>
      <c r="CL131" s="18">
        <v>0</v>
      </c>
      <c r="CM131" s="18">
        <v>1</v>
      </c>
      <c r="CN131" s="18">
        <v>0</v>
      </c>
      <c r="CO131" s="18">
        <v>1</v>
      </c>
      <c r="CP131" s="18">
        <v>1</v>
      </c>
      <c r="CQ131" s="18">
        <v>1</v>
      </c>
      <c r="CR131" s="18" t="s">
        <v>5141</v>
      </c>
      <c r="CS131" s="18" t="s">
        <v>5141</v>
      </c>
      <c r="CT131" s="18">
        <v>0</v>
      </c>
      <c r="CU131" s="18">
        <v>1</v>
      </c>
      <c r="CV131" s="18">
        <v>1</v>
      </c>
      <c r="CX131" s="18">
        <v>1</v>
      </c>
      <c r="CY131" s="18">
        <v>1</v>
      </c>
      <c r="CZ131" s="18">
        <v>1</v>
      </c>
      <c r="DA131" s="18">
        <v>1</v>
      </c>
      <c r="DB131" s="18">
        <v>1</v>
      </c>
      <c r="DC131" s="18">
        <v>1</v>
      </c>
      <c r="DD131" s="18">
        <v>1</v>
      </c>
      <c r="DE131" s="18" t="s">
        <v>5141</v>
      </c>
      <c r="DF131" s="18" t="s">
        <v>5141</v>
      </c>
      <c r="DG131" s="18">
        <v>1</v>
      </c>
      <c r="DH131" s="18">
        <v>1</v>
      </c>
      <c r="DI131" s="18">
        <v>1</v>
      </c>
      <c r="DK131" s="18">
        <v>0</v>
      </c>
      <c r="DL131" s="18">
        <v>0</v>
      </c>
      <c r="DM131" s="18" t="s">
        <v>5127</v>
      </c>
      <c r="DN131" s="18" t="s">
        <v>5258</v>
      </c>
      <c r="DO131" s="18" t="s">
        <v>5742</v>
      </c>
      <c r="DP131" s="18" t="s">
        <v>106</v>
      </c>
      <c r="DS131" s="18">
        <v>0</v>
      </c>
      <c r="DT131" s="18">
        <v>1</v>
      </c>
      <c r="DU131" s="18">
        <v>1</v>
      </c>
      <c r="DV131" s="18" t="s">
        <v>5301</v>
      </c>
      <c r="DX131" s="18" t="s">
        <v>5222</v>
      </c>
      <c r="DY131" s="18" t="s">
        <v>106</v>
      </c>
      <c r="DZ131" s="18" t="s">
        <v>106</v>
      </c>
      <c r="EA131" s="18" t="s">
        <v>5146</v>
      </c>
      <c r="EB131" s="18">
        <v>123389</v>
      </c>
      <c r="EC131" s="18" t="s">
        <v>106</v>
      </c>
      <c r="ED131" s="18" t="s">
        <v>5176</v>
      </c>
      <c r="EE131" s="18" t="s">
        <v>106</v>
      </c>
      <c r="EF131" s="18" t="s">
        <v>106</v>
      </c>
      <c r="EH131" s="18" t="s">
        <v>5203</v>
      </c>
      <c r="EI131" s="18" t="s">
        <v>5204</v>
      </c>
      <c r="EJ131" s="18" t="s">
        <v>5245</v>
      </c>
      <c r="EN131" s="18" t="s">
        <v>113</v>
      </c>
      <c r="EO131" s="18" t="s">
        <v>113</v>
      </c>
      <c r="EP131" s="18" t="s">
        <v>113</v>
      </c>
      <c r="EQ131" s="18" t="s">
        <v>113</v>
      </c>
      <c r="ER131" s="18" t="s">
        <v>5328</v>
      </c>
      <c r="ES131" s="18" t="s">
        <v>5378</v>
      </c>
      <c r="ET131" s="18" t="s">
        <v>5154</v>
      </c>
      <c r="EU131" s="18" t="s">
        <v>5155</v>
      </c>
      <c r="EV131" s="18" t="s">
        <v>5730</v>
      </c>
      <c r="EW131" s="18" t="s">
        <v>5247</v>
      </c>
      <c r="EX131" s="18" t="s">
        <v>5158</v>
      </c>
      <c r="EY131" s="18" t="s">
        <v>5159</v>
      </c>
      <c r="EZ131" s="18" t="s">
        <v>5182</v>
      </c>
      <c r="FA131" s="18" t="s">
        <v>144</v>
      </c>
      <c r="FB131" s="18" t="s">
        <v>5161</v>
      </c>
    </row>
    <row r="132" spans="1:158" ht="10.5" customHeight="1" x14ac:dyDescent="0.2">
      <c r="A132" s="16">
        <v>41</v>
      </c>
      <c r="B132" s="16" t="s">
        <v>1476</v>
      </c>
      <c r="C132" s="16" t="s">
        <v>108</v>
      </c>
      <c r="D132" s="16">
        <v>1829225</v>
      </c>
      <c r="E132" s="16" t="s">
        <v>6660</v>
      </c>
      <c r="F132" s="18" t="s">
        <v>108</v>
      </c>
      <c r="G132" s="18" t="s">
        <v>106</v>
      </c>
      <c r="H132" s="15" t="s">
        <v>5127</v>
      </c>
      <c r="I132" s="18">
        <v>16</v>
      </c>
      <c r="J132" s="18">
        <v>9</v>
      </c>
      <c r="K132" s="18">
        <v>7</v>
      </c>
      <c r="M132" s="18" t="s">
        <v>5183</v>
      </c>
      <c r="N132" s="18">
        <v>25000893</v>
      </c>
      <c r="O132" s="18">
        <v>46175</v>
      </c>
      <c r="T132" s="18" t="s">
        <v>5617</v>
      </c>
      <c r="U132" s="18" t="s">
        <v>5185</v>
      </c>
      <c r="V132" s="18" t="s">
        <v>106</v>
      </c>
      <c r="W132" s="18" t="s">
        <v>5124</v>
      </c>
      <c r="Y132" s="18" t="s">
        <v>5750</v>
      </c>
      <c r="Z132" s="18" t="s">
        <v>106</v>
      </c>
      <c r="AA132" s="18" t="s">
        <v>5163</v>
      </c>
      <c r="AB132" s="18" t="s">
        <v>5233</v>
      </c>
      <c r="AC132" s="18" t="s">
        <v>5127</v>
      </c>
      <c r="AD132" s="18" t="s">
        <v>5127</v>
      </c>
      <c r="AE132" s="18" t="s">
        <v>5127</v>
      </c>
      <c r="AF132" s="18" t="s">
        <v>5127</v>
      </c>
      <c r="AG132" s="18" t="s">
        <v>5127</v>
      </c>
      <c r="AH132" s="18" t="s">
        <v>5127</v>
      </c>
      <c r="AI132" s="18">
        <v>1</v>
      </c>
      <c r="AK132" s="18" t="s">
        <v>5164</v>
      </c>
      <c r="AN132" s="18">
        <v>379143</v>
      </c>
      <c r="AO132" s="18" t="s">
        <v>5129</v>
      </c>
      <c r="AP132" s="18" t="s">
        <v>5456</v>
      </c>
      <c r="AQ132" s="18" t="s">
        <v>5311</v>
      </c>
      <c r="AR132" s="18" t="s">
        <v>5727</v>
      </c>
      <c r="AT132" s="17">
        <f>(365*D132*0.7)/1000</f>
        <v>467366.98749999999</v>
      </c>
      <c r="AU132" s="17">
        <f t="shared" si="5"/>
        <v>113.74199999999999</v>
      </c>
      <c r="AV132" s="18">
        <f>33960/1000</f>
        <v>33.96</v>
      </c>
      <c r="AW132" s="18">
        <f>79782/1000</f>
        <v>79.781999999999996</v>
      </c>
      <c r="AY132" s="18" t="s">
        <v>5743</v>
      </c>
      <c r="BG132" s="18" t="s">
        <v>5133</v>
      </c>
      <c r="BQ132" s="18">
        <f>138185/1000</f>
        <v>138.185</v>
      </c>
      <c r="BR132" s="18">
        <f>72572/1000</f>
        <v>72.572000000000003</v>
      </c>
      <c r="BS132" s="18">
        <f>16945/1000</f>
        <v>16.945</v>
      </c>
      <c r="BT132" s="18">
        <f>37698/1000</f>
        <v>37.698</v>
      </c>
      <c r="BU132" s="18">
        <v>0</v>
      </c>
      <c r="BV132" s="18">
        <f t="shared" si="4"/>
        <v>265.39999999999998</v>
      </c>
      <c r="BW132" s="15">
        <f t="shared" si="6"/>
        <v>265.39999999999998</v>
      </c>
      <c r="BY132" s="18" t="s">
        <v>5134</v>
      </c>
      <c r="BZ132" s="18" t="s">
        <v>5688</v>
      </c>
      <c r="CD132" s="18" t="s">
        <v>5127</v>
      </c>
      <c r="CE132" s="18" t="s">
        <v>5127</v>
      </c>
      <c r="CF132" s="18" t="s">
        <v>5135</v>
      </c>
      <c r="CG132" s="18" t="s">
        <v>5550</v>
      </c>
      <c r="CH132" s="18" t="s">
        <v>5556</v>
      </c>
      <c r="CI132" s="18" t="s">
        <v>5195</v>
      </c>
      <c r="CJ132" s="18" t="s">
        <v>5196</v>
      </c>
      <c r="CK132" s="18" t="s">
        <v>5341</v>
      </c>
      <c r="CL132" s="18">
        <v>0</v>
      </c>
      <c r="CM132" s="18">
        <v>1</v>
      </c>
      <c r="CN132" s="18">
        <v>0</v>
      </c>
      <c r="CO132" s="18">
        <v>1</v>
      </c>
      <c r="CP132" s="18">
        <v>0</v>
      </c>
      <c r="CQ132" s="18">
        <v>1</v>
      </c>
      <c r="CR132" s="18" t="s">
        <v>5141</v>
      </c>
      <c r="CS132" s="18" t="s">
        <v>5141</v>
      </c>
      <c r="CT132" s="18">
        <v>0</v>
      </c>
      <c r="CU132" s="18">
        <v>1</v>
      </c>
      <c r="CV132" s="18">
        <v>1</v>
      </c>
      <c r="CX132" s="18">
        <v>1</v>
      </c>
      <c r="CY132" s="18">
        <v>1</v>
      </c>
      <c r="CZ132" s="18">
        <v>1</v>
      </c>
      <c r="DA132" s="18">
        <v>0</v>
      </c>
      <c r="DB132" s="18">
        <v>1</v>
      </c>
      <c r="DC132" s="18">
        <v>1</v>
      </c>
      <c r="DD132" s="18">
        <v>1</v>
      </c>
      <c r="DE132" s="18" t="s">
        <v>5141</v>
      </c>
      <c r="DF132" s="18" t="s">
        <v>5141</v>
      </c>
      <c r="DG132" s="18">
        <v>1</v>
      </c>
      <c r="DH132" s="18">
        <v>1</v>
      </c>
      <c r="DI132" s="18">
        <v>1</v>
      </c>
      <c r="DK132" s="18">
        <v>0</v>
      </c>
      <c r="DL132" s="18">
        <v>0</v>
      </c>
      <c r="DM132" s="18" t="s">
        <v>5127</v>
      </c>
      <c r="DN132" s="18" t="s">
        <v>5198</v>
      </c>
      <c r="DO132" s="18" t="s">
        <v>5488</v>
      </c>
      <c r="DP132" s="18" t="s">
        <v>106</v>
      </c>
      <c r="DS132" s="18">
        <v>0</v>
      </c>
      <c r="DT132" s="18">
        <v>1</v>
      </c>
      <c r="DU132" s="18">
        <v>1</v>
      </c>
      <c r="DV132" s="18" t="s">
        <v>5342</v>
      </c>
      <c r="DX132" s="18" t="s">
        <v>5222</v>
      </c>
      <c r="DY132" s="18" t="s">
        <v>106</v>
      </c>
      <c r="DZ132" s="18" t="s">
        <v>106</v>
      </c>
      <c r="EA132" s="18" t="s">
        <v>5146</v>
      </c>
      <c r="EB132" s="18">
        <v>265400</v>
      </c>
      <c r="EC132" s="18" t="s">
        <v>106</v>
      </c>
      <c r="ED132" s="18" t="s">
        <v>5176</v>
      </c>
      <c r="EE132" s="18" t="s">
        <v>106</v>
      </c>
      <c r="EF132" s="18" t="s">
        <v>106</v>
      </c>
      <c r="EG132" s="18" t="s">
        <v>5148</v>
      </c>
      <c r="EH132" s="18" t="s">
        <v>5203</v>
      </c>
      <c r="EI132" s="18" t="s">
        <v>5204</v>
      </c>
      <c r="EJ132" s="18" t="s">
        <v>5245</v>
      </c>
      <c r="EN132" s="18" t="s">
        <v>106</v>
      </c>
      <c r="EO132" s="18" t="s">
        <v>113</v>
      </c>
      <c r="EP132" s="18" t="s">
        <v>113</v>
      </c>
      <c r="EQ132" s="18" t="s">
        <v>113</v>
      </c>
      <c r="ER132" s="18" t="s">
        <v>5289</v>
      </c>
      <c r="ES132" s="18" t="s">
        <v>5729</v>
      </c>
      <c r="ET132" s="18" t="s">
        <v>5154</v>
      </c>
      <c r="EU132" s="18" t="s">
        <v>5155</v>
      </c>
      <c r="EV132" s="18" t="s">
        <v>5730</v>
      </c>
      <c r="EW132" s="18" t="s">
        <v>5247</v>
      </c>
      <c r="EX132" s="18" t="s">
        <v>5158</v>
      </c>
      <c r="EY132" s="18" t="s">
        <v>5181</v>
      </c>
      <c r="EZ132" s="18" t="s">
        <v>5182</v>
      </c>
      <c r="FA132" s="18" t="s">
        <v>144</v>
      </c>
      <c r="FB132" s="18" t="s">
        <v>5161</v>
      </c>
    </row>
    <row r="133" spans="1:158" ht="10.5" customHeight="1" x14ac:dyDescent="0.2">
      <c r="A133" s="16">
        <v>41</v>
      </c>
      <c r="B133" s="16" t="s">
        <v>1476</v>
      </c>
      <c r="C133" s="16" t="s">
        <v>108</v>
      </c>
      <c r="D133" s="16">
        <v>1829225</v>
      </c>
      <c r="E133" s="16" t="s">
        <v>6660</v>
      </c>
      <c r="F133" s="18" t="s">
        <v>108</v>
      </c>
      <c r="G133" s="18" t="s">
        <v>106</v>
      </c>
      <c r="H133" s="15" t="s">
        <v>5127</v>
      </c>
      <c r="I133" s="18">
        <v>12</v>
      </c>
      <c r="J133" s="18">
        <v>3</v>
      </c>
      <c r="K133" s="18">
        <v>9</v>
      </c>
      <c r="M133" s="18" t="s">
        <v>5183</v>
      </c>
      <c r="N133" s="18">
        <v>22003270</v>
      </c>
      <c r="O133" s="18">
        <v>45933</v>
      </c>
      <c r="T133" s="18" t="s">
        <v>111</v>
      </c>
      <c r="U133" s="18" t="s">
        <v>5185</v>
      </c>
      <c r="V133" s="18" t="s">
        <v>106</v>
      </c>
      <c r="W133" s="18" t="s">
        <v>5124</v>
      </c>
      <c r="Y133" s="18" t="s">
        <v>5162</v>
      </c>
      <c r="Z133" s="18" t="s">
        <v>106</v>
      </c>
      <c r="AA133" s="18" t="s">
        <v>5267</v>
      </c>
      <c r="AB133" s="18" t="s">
        <v>179</v>
      </c>
      <c r="AC133" s="18" t="s">
        <v>5127</v>
      </c>
      <c r="AD133" s="18" t="s">
        <v>5127</v>
      </c>
      <c r="AE133" s="18" t="s">
        <v>5127</v>
      </c>
      <c r="AF133" s="18" t="s">
        <v>5127</v>
      </c>
      <c r="AG133" s="18" t="s">
        <v>5127</v>
      </c>
      <c r="AH133" s="18" t="s">
        <v>5127</v>
      </c>
      <c r="AI133" s="18">
        <v>0</v>
      </c>
      <c r="AK133" s="18" t="s">
        <v>5164</v>
      </c>
      <c r="AN133" s="18">
        <v>582343</v>
      </c>
      <c r="AO133" s="18" t="s">
        <v>5129</v>
      </c>
      <c r="AP133" s="18" t="s">
        <v>5751</v>
      </c>
      <c r="AQ133" s="18" t="s">
        <v>5311</v>
      </c>
      <c r="AR133" s="18" t="s">
        <v>5727</v>
      </c>
      <c r="AT133" s="17">
        <f>(365*D133*0.7)/1000</f>
        <v>467366.98749999999</v>
      </c>
      <c r="AU133" s="17">
        <f t="shared" si="5"/>
        <v>174.685</v>
      </c>
      <c r="AV133" s="18">
        <f>94850/1000</f>
        <v>94.85</v>
      </c>
      <c r="AW133" s="18">
        <f>79835/1000</f>
        <v>79.834999999999994</v>
      </c>
      <c r="AY133" s="18" t="s">
        <v>5728</v>
      </c>
      <c r="BG133" s="18" t="s">
        <v>5133</v>
      </c>
      <c r="BQ133" s="18">
        <f>192799/1000</f>
        <v>192.79900000000001</v>
      </c>
      <c r="BR133" s="18">
        <f>84128/1000</f>
        <v>84.128</v>
      </c>
      <c r="BS133" s="18">
        <f>56455/1000</f>
        <v>56.454999999999998</v>
      </c>
      <c r="BT133" s="18">
        <f>74258/1000</f>
        <v>74.257999999999996</v>
      </c>
      <c r="BU133" s="18">
        <v>0</v>
      </c>
      <c r="BV133" s="18">
        <f t="shared" si="4"/>
        <v>407.64</v>
      </c>
      <c r="BW133" s="15">
        <f t="shared" si="6"/>
        <v>407.64</v>
      </c>
      <c r="BY133" s="18" t="s">
        <v>5134</v>
      </c>
      <c r="BZ133" s="18" t="s">
        <v>5688</v>
      </c>
      <c r="CD133" s="18" t="s">
        <v>5127</v>
      </c>
      <c r="CE133" s="18" t="s">
        <v>5127</v>
      </c>
      <c r="CF133" s="18" t="s">
        <v>5135</v>
      </c>
      <c r="CG133" s="18" t="s">
        <v>5193</v>
      </c>
      <c r="CH133" s="18" t="s">
        <v>5194</v>
      </c>
      <c r="CI133" s="18" t="s">
        <v>5195</v>
      </c>
      <c r="CJ133" s="18" t="s">
        <v>5196</v>
      </c>
      <c r="CK133" s="18" t="s">
        <v>5341</v>
      </c>
      <c r="CL133" s="18">
        <v>0</v>
      </c>
      <c r="CM133" s="18">
        <v>1</v>
      </c>
      <c r="CN133" s="18">
        <v>0</v>
      </c>
      <c r="CO133" s="18">
        <v>1</v>
      </c>
      <c r="CP133" s="18">
        <v>0</v>
      </c>
      <c r="CQ133" s="18">
        <v>1</v>
      </c>
      <c r="CR133" s="18" t="s">
        <v>5141</v>
      </c>
      <c r="CS133" s="18" t="s">
        <v>5141</v>
      </c>
      <c r="CT133" s="18">
        <v>0</v>
      </c>
      <c r="CU133" s="18">
        <v>1</v>
      </c>
      <c r="CV133" s="18">
        <v>1</v>
      </c>
      <c r="CX133" s="18">
        <v>1</v>
      </c>
      <c r="CY133" s="18">
        <v>1</v>
      </c>
      <c r="CZ133" s="18">
        <v>1</v>
      </c>
      <c r="DA133" s="18">
        <v>0</v>
      </c>
      <c r="DB133" s="18">
        <v>1</v>
      </c>
      <c r="DC133" s="18">
        <v>1</v>
      </c>
      <c r="DD133" s="18">
        <v>1</v>
      </c>
      <c r="DE133" s="18" t="s">
        <v>5141</v>
      </c>
      <c r="DF133" s="18" t="s">
        <v>5141</v>
      </c>
      <c r="DG133" s="18">
        <v>1</v>
      </c>
      <c r="DH133" s="18">
        <v>1</v>
      </c>
      <c r="DI133" s="18">
        <v>2</v>
      </c>
      <c r="DK133" s="18">
        <v>0</v>
      </c>
      <c r="DL133" s="18">
        <v>0</v>
      </c>
      <c r="DM133" s="18" t="s">
        <v>5127</v>
      </c>
      <c r="DN133" s="18" t="s">
        <v>5258</v>
      </c>
      <c r="DO133" s="18" t="s">
        <v>5315</v>
      </c>
      <c r="DP133" s="18" t="s">
        <v>106</v>
      </c>
      <c r="DS133" s="18">
        <v>0</v>
      </c>
      <c r="DT133" s="18">
        <v>1</v>
      </c>
      <c r="DU133" s="18">
        <v>1</v>
      </c>
      <c r="DV133" s="18" t="s">
        <v>5342</v>
      </c>
      <c r="DX133" s="18" t="s">
        <v>5222</v>
      </c>
      <c r="DY133" s="18" t="s">
        <v>106</v>
      </c>
      <c r="DZ133" s="18" t="s">
        <v>106</v>
      </c>
      <c r="EA133" s="18" t="s">
        <v>5175</v>
      </c>
      <c r="EB133" s="18">
        <v>407640</v>
      </c>
      <c r="EC133" s="18" t="s">
        <v>106</v>
      </c>
      <c r="ED133" s="18" t="s">
        <v>5147</v>
      </c>
      <c r="EE133" s="18" t="s">
        <v>106</v>
      </c>
      <c r="EF133" s="18" t="s">
        <v>106</v>
      </c>
      <c r="EH133" s="18" t="s">
        <v>5203</v>
      </c>
      <c r="EI133" s="18" t="s">
        <v>5204</v>
      </c>
      <c r="EJ133" s="18" t="s">
        <v>5245</v>
      </c>
      <c r="EN133" s="18" t="s">
        <v>106</v>
      </c>
      <c r="EO133" s="18" t="s">
        <v>113</v>
      </c>
      <c r="EP133" s="18" t="s">
        <v>113</v>
      </c>
      <c r="EQ133" s="18" t="s">
        <v>113</v>
      </c>
      <c r="ER133" s="18" t="s">
        <v>5328</v>
      </c>
      <c r="ES133" s="18" t="s">
        <v>5498</v>
      </c>
      <c r="ET133" s="18" t="s">
        <v>5154</v>
      </c>
      <c r="EU133" s="18" t="s">
        <v>5155</v>
      </c>
      <c r="EV133" s="18" t="s">
        <v>5730</v>
      </c>
      <c r="EW133" s="18" t="s">
        <v>5247</v>
      </c>
      <c r="EX133" s="18" t="s">
        <v>5158</v>
      </c>
      <c r="EY133" s="18" t="s">
        <v>5347</v>
      </c>
      <c r="EZ133" s="18" t="s">
        <v>5182</v>
      </c>
      <c r="FA133" s="18" t="s">
        <v>144</v>
      </c>
      <c r="FB133" s="18" t="s">
        <v>5161</v>
      </c>
    </row>
    <row r="134" spans="1:158" ht="10.5" customHeight="1" x14ac:dyDescent="0.2">
      <c r="A134" s="16">
        <v>41</v>
      </c>
      <c r="B134" s="16" t="s">
        <v>1476</v>
      </c>
      <c r="C134" s="16" t="s">
        <v>108</v>
      </c>
      <c r="D134" s="16">
        <v>1829225</v>
      </c>
      <c r="E134" s="16" t="s">
        <v>6660</v>
      </c>
      <c r="F134" s="18" t="s">
        <v>108</v>
      </c>
      <c r="G134" s="18" t="s">
        <v>106</v>
      </c>
      <c r="H134" s="15" t="s">
        <v>5127</v>
      </c>
      <c r="I134" s="18">
        <v>28</v>
      </c>
      <c r="J134" s="18">
        <v>18</v>
      </c>
      <c r="K134" s="18">
        <v>10</v>
      </c>
      <c r="M134" s="18" t="s">
        <v>5121</v>
      </c>
      <c r="N134" s="18">
        <v>24003473</v>
      </c>
      <c r="O134" s="18">
        <v>45933</v>
      </c>
      <c r="T134" s="18" t="s">
        <v>111</v>
      </c>
      <c r="U134" s="18" t="s">
        <v>5185</v>
      </c>
      <c r="V134" s="18" t="s">
        <v>106</v>
      </c>
      <c r="W134" s="18" t="s">
        <v>5124</v>
      </c>
      <c r="Y134" s="18" t="s">
        <v>5740</v>
      </c>
      <c r="Z134" s="18" t="s">
        <v>106</v>
      </c>
      <c r="AA134" s="18" t="s">
        <v>5163</v>
      </c>
      <c r="AB134" s="18" t="s">
        <v>179</v>
      </c>
      <c r="AC134" s="18" t="s">
        <v>5127</v>
      </c>
      <c r="AD134" s="18" t="s">
        <v>5127</v>
      </c>
      <c r="AE134" s="18" t="s">
        <v>5127</v>
      </c>
      <c r="AF134" s="18" t="s">
        <v>5127</v>
      </c>
      <c r="AG134" s="18" t="s">
        <v>5127</v>
      </c>
      <c r="AH134" s="18" t="s">
        <v>5127</v>
      </c>
      <c r="AI134" s="18">
        <v>1</v>
      </c>
      <c r="AK134" s="18" t="s">
        <v>5164</v>
      </c>
      <c r="AN134" s="18">
        <v>226570</v>
      </c>
      <c r="AO134" s="18" t="s">
        <v>5165</v>
      </c>
      <c r="AP134" s="18" t="s">
        <v>5752</v>
      </c>
      <c r="AQ134" s="18" t="s">
        <v>5311</v>
      </c>
      <c r="AR134" s="18" t="s">
        <v>5727</v>
      </c>
      <c r="AT134" s="17">
        <f>(365*D134*0.7)/1000</f>
        <v>467366.98749999999</v>
      </c>
      <c r="AU134" s="17">
        <f t="shared" si="5"/>
        <v>67.971000000000004</v>
      </c>
      <c r="AV134" s="18">
        <f>33251/1000</f>
        <v>33.250999999999998</v>
      </c>
      <c r="AW134" s="18">
        <f>34720/1000</f>
        <v>34.72</v>
      </c>
      <c r="AY134" s="18" t="s">
        <v>5728</v>
      </c>
      <c r="BG134" s="18" t="s">
        <v>5133</v>
      </c>
      <c r="BQ134" s="18">
        <f>94526/1000</f>
        <v>94.525999999999996</v>
      </c>
      <c r="BR134" s="18">
        <f>45553/1000</f>
        <v>45.552999999999997</v>
      </c>
      <c r="BS134" s="18">
        <f>18220/1000</f>
        <v>18.22</v>
      </c>
      <c r="BT134" s="18">
        <v>300</v>
      </c>
      <c r="BU134" s="18">
        <v>0</v>
      </c>
      <c r="BV134" s="18">
        <f t="shared" si="4"/>
        <v>458.29899999999998</v>
      </c>
      <c r="BW134" s="15">
        <f t="shared" si="6"/>
        <v>458.29899999999998</v>
      </c>
      <c r="BY134" s="18" t="s">
        <v>5134</v>
      </c>
      <c r="BZ134" s="18" t="s">
        <v>5688</v>
      </c>
      <c r="CD134" s="18" t="s">
        <v>5127</v>
      </c>
      <c r="CE134" s="18" t="s">
        <v>5127</v>
      </c>
      <c r="CF134" s="18" t="s">
        <v>5282</v>
      </c>
      <c r="CG134" s="18" t="s">
        <v>5193</v>
      </c>
      <c r="CH134" s="18" t="s">
        <v>5194</v>
      </c>
      <c r="CI134" s="18" t="s">
        <v>5195</v>
      </c>
      <c r="CJ134" s="18" t="s">
        <v>5196</v>
      </c>
      <c r="CK134" s="18" t="s">
        <v>5341</v>
      </c>
      <c r="CL134" s="18">
        <v>1</v>
      </c>
      <c r="CM134" s="18">
        <v>1</v>
      </c>
      <c r="CN134" s="18">
        <v>0</v>
      </c>
      <c r="CO134" s="18">
        <v>1</v>
      </c>
      <c r="CP134" s="18">
        <v>1</v>
      </c>
      <c r="CQ134" s="18">
        <v>1</v>
      </c>
      <c r="CR134" s="18" t="s">
        <v>5141</v>
      </c>
      <c r="CS134" s="18" t="s">
        <v>5141</v>
      </c>
      <c r="CT134" s="18">
        <v>0</v>
      </c>
      <c r="CU134" s="18">
        <v>1</v>
      </c>
      <c r="CV134" s="18">
        <v>1</v>
      </c>
      <c r="CX134" s="18">
        <v>1</v>
      </c>
      <c r="CY134" s="18">
        <v>1</v>
      </c>
      <c r="CZ134" s="18">
        <v>1</v>
      </c>
      <c r="DA134" s="18">
        <v>0</v>
      </c>
      <c r="DB134" s="18">
        <v>1</v>
      </c>
      <c r="DC134" s="18">
        <v>1</v>
      </c>
      <c r="DD134" s="18">
        <v>0</v>
      </c>
      <c r="DE134" s="18" t="s">
        <v>5141</v>
      </c>
      <c r="DF134" s="18" t="s">
        <v>5141</v>
      </c>
      <c r="DG134" s="18">
        <v>0</v>
      </c>
      <c r="DH134" s="18">
        <v>1</v>
      </c>
      <c r="DI134" s="18">
        <v>1</v>
      </c>
      <c r="DK134" s="18">
        <v>0</v>
      </c>
      <c r="DL134" s="18">
        <v>0</v>
      </c>
      <c r="DM134" s="18" t="s">
        <v>5127</v>
      </c>
      <c r="DN134" s="18" t="s">
        <v>5716</v>
      </c>
      <c r="DO134" s="18" t="s">
        <v>5742</v>
      </c>
      <c r="DP134" s="18" t="s">
        <v>106</v>
      </c>
      <c r="DS134" s="18">
        <v>0</v>
      </c>
      <c r="DT134" s="18">
        <v>1</v>
      </c>
      <c r="DU134" s="18">
        <v>1</v>
      </c>
      <c r="DV134" s="18" t="s">
        <v>5342</v>
      </c>
      <c r="DX134" s="18" t="s">
        <v>5222</v>
      </c>
      <c r="DY134" s="18" t="s">
        <v>106</v>
      </c>
      <c r="DZ134" s="18" t="s">
        <v>106</v>
      </c>
      <c r="EA134" s="18" t="s">
        <v>5175</v>
      </c>
      <c r="EB134" s="18">
        <v>158599</v>
      </c>
      <c r="EC134" s="18" t="s">
        <v>106</v>
      </c>
      <c r="ED134" s="18" t="s">
        <v>5176</v>
      </c>
      <c r="EE134" s="18" t="s">
        <v>106</v>
      </c>
      <c r="EF134" s="18" t="s">
        <v>106</v>
      </c>
      <c r="EG134" s="18" t="s">
        <v>5404</v>
      </c>
      <c r="EH134" s="18" t="s">
        <v>5203</v>
      </c>
      <c r="EI134" s="18" t="s">
        <v>5204</v>
      </c>
      <c r="EJ134" s="18" t="s">
        <v>5245</v>
      </c>
      <c r="EN134" s="18" t="s">
        <v>113</v>
      </c>
      <c r="EO134" s="18" t="s">
        <v>113</v>
      </c>
      <c r="EP134" s="18" t="s">
        <v>113</v>
      </c>
      <c r="EQ134" s="18" t="s">
        <v>113</v>
      </c>
      <c r="ER134" s="18" t="s">
        <v>5289</v>
      </c>
      <c r="ES134" s="18" t="s">
        <v>5317</v>
      </c>
      <c r="ET134" s="18" t="s">
        <v>5154</v>
      </c>
      <c r="EU134" s="18" t="s">
        <v>5155</v>
      </c>
      <c r="EV134" s="18" t="s">
        <v>5730</v>
      </c>
      <c r="EW134" s="18" t="s">
        <v>5247</v>
      </c>
      <c r="EX134" s="18" t="s">
        <v>5158</v>
      </c>
      <c r="EY134" s="18" t="s">
        <v>5159</v>
      </c>
      <c r="EZ134" s="18" t="s">
        <v>5182</v>
      </c>
      <c r="FA134" s="18" t="s">
        <v>144</v>
      </c>
      <c r="FB134" s="18" t="s">
        <v>5161</v>
      </c>
    </row>
    <row r="135" spans="1:158" ht="10.5" customHeight="1" x14ac:dyDescent="0.2">
      <c r="A135" s="16">
        <v>41</v>
      </c>
      <c r="B135" s="16" t="s">
        <v>1476</v>
      </c>
      <c r="C135" s="16" t="s">
        <v>108</v>
      </c>
      <c r="D135" s="16">
        <v>1829225</v>
      </c>
      <c r="E135" s="16" t="s">
        <v>6660</v>
      </c>
      <c r="F135" s="18" t="s">
        <v>108</v>
      </c>
      <c r="G135" s="18" t="s">
        <v>106</v>
      </c>
      <c r="H135" s="15" t="s">
        <v>5127</v>
      </c>
      <c r="I135" s="18">
        <v>20</v>
      </c>
      <c r="J135" s="18">
        <v>13</v>
      </c>
      <c r="K135" s="18">
        <v>7</v>
      </c>
      <c r="M135" s="18" t="s">
        <v>5183</v>
      </c>
      <c r="N135" s="18">
        <v>24003873</v>
      </c>
      <c r="O135" s="18">
        <v>46203</v>
      </c>
      <c r="T135" s="18" t="s">
        <v>5501</v>
      </c>
      <c r="U135" s="18" t="s">
        <v>5185</v>
      </c>
      <c r="V135" s="18" t="s">
        <v>106</v>
      </c>
      <c r="W135" s="18" t="s">
        <v>5124</v>
      </c>
      <c r="Y135" s="18" t="s">
        <v>5212</v>
      </c>
      <c r="Z135" s="18" t="s">
        <v>106</v>
      </c>
      <c r="AA135" s="18" t="s">
        <v>5267</v>
      </c>
      <c r="AC135" s="18" t="s">
        <v>5127</v>
      </c>
      <c r="AD135" s="18" t="s">
        <v>5127</v>
      </c>
      <c r="AE135" s="18" t="s">
        <v>5127</v>
      </c>
      <c r="AF135" s="18" t="s">
        <v>5127</v>
      </c>
      <c r="AG135" s="18" t="s">
        <v>5127</v>
      </c>
      <c r="AH135" s="18" t="s">
        <v>5127</v>
      </c>
      <c r="AI135" s="18">
        <v>1</v>
      </c>
      <c r="AK135" s="18" t="s">
        <v>5164</v>
      </c>
      <c r="AN135" s="18">
        <v>654273</v>
      </c>
      <c r="AO135" s="18" t="s">
        <v>5165</v>
      </c>
      <c r="AP135" s="18" t="s">
        <v>5751</v>
      </c>
      <c r="AQ135" s="18" t="s">
        <v>5311</v>
      </c>
      <c r="AR135" s="18" t="s">
        <v>5727</v>
      </c>
      <c r="AT135" s="17">
        <f>(365*D135*0.7)/1000</f>
        <v>467366.98749999999</v>
      </c>
      <c r="AU135" s="17">
        <f t="shared" si="5"/>
        <v>196.28200000000001</v>
      </c>
      <c r="AV135" s="18">
        <f>59502/1000</f>
        <v>59.502000000000002</v>
      </c>
      <c r="AW135" s="18">
        <f>136780/1000</f>
        <v>136.78</v>
      </c>
      <c r="AY135" s="18" t="s">
        <v>5743</v>
      </c>
      <c r="BG135" s="18" t="s">
        <v>5133</v>
      </c>
      <c r="BQ135" s="18">
        <f>219169/1000</f>
        <v>219.16900000000001</v>
      </c>
      <c r="BR135" s="18">
        <f>117176/1000</f>
        <v>117.176</v>
      </c>
      <c r="BS135" s="18">
        <f>17340/1000</f>
        <v>17.34</v>
      </c>
      <c r="BT135" s="18">
        <f>104306/1000</f>
        <v>104.306</v>
      </c>
      <c r="BU135" s="18">
        <v>0</v>
      </c>
      <c r="BV135" s="18">
        <f t="shared" si="4"/>
        <v>457.99099999999999</v>
      </c>
      <c r="BW135" s="15">
        <f t="shared" si="6"/>
        <v>457.99099999999999</v>
      </c>
      <c r="BY135" s="18" t="s">
        <v>5134</v>
      </c>
      <c r="BZ135" s="18" t="s">
        <v>5688</v>
      </c>
      <c r="CD135" s="18" t="s">
        <v>5127</v>
      </c>
      <c r="CE135" s="18" t="s">
        <v>5127</v>
      </c>
      <c r="CF135" s="18" t="s">
        <v>5135</v>
      </c>
      <c r="CG135" s="18" t="s">
        <v>5550</v>
      </c>
      <c r="CH135" s="18" t="s">
        <v>5556</v>
      </c>
      <c r="CI135" s="18" t="s">
        <v>5195</v>
      </c>
      <c r="CJ135" s="18" t="s">
        <v>5196</v>
      </c>
      <c r="CK135" s="18" t="s">
        <v>5341</v>
      </c>
      <c r="CL135" s="18">
        <v>1</v>
      </c>
      <c r="CM135" s="18">
        <v>1</v>
      </c>
      <c r="CN135" s="18">
        <v>0</v>
      </c>
      <c r="CO135" s="18">
        <v>1</v>
      </c>
      <c r="CP135" s="18">
        <v>0</v>
      </c>
      <c r="CQ135" s="18">
        <v>1</v>
      </c>
      <c r="CR135" s="18" t="s">
        <v>5141</v>
      </c>
      <c r="CS135" s="18" t="s">
        <v>5141</v>
      </c>
      <c r="CT135" s="18">
        <v>0</v>
      </c>
      <c r="CU135" s="18">
        <v>1</v>
      </c>
      <c r="CV135" s="18">
        <v>1</v>
      </c>
      <c r="CX135" s="18">
        <v>1</v>
      </c>
      <c r="CY135" s="18">
        <v>1</v>
      </c>
      <c r="CZ135" s="18">
        <v>1</v>
      </c>
      <c r="DA135" s="18">
        <v>0</v>
      </c>
      <c r="DB135" s="18">
        <v>1</v>
      </c>
      <c r="DC135" s="18">
        <v>1</v>
      </c>
      <c r="DD135" s="18">
        <v>1</v>
      </c>
      <c r="DE135" s="18" t="s">
        <v>5141</v>
      </c>
      <c r="DF135" s="18" t="s">
        <v>5141</v>
      </c>
      <c r="DG135" s="18">
        <v>0</v>
      </c>
      <c r="DH135" s="18">
        <v>1</v>
      </c>
      <c r="DI135" s="18">
        <v>1</v>
      </c>
      <c r="DK135" s="18">
        <v>0</v>
      </c>
      <c r="DL135" s="18">
        <v>0</v>
      </c>
      <c r="DM135" s="18" t="s">
        <v>5127</v>
      </c>
      <c r="DN135" s="18" t="s">
        <v>5258</v>
      </c>
      <c r="DO135" s="18" t="s">
        <v>5488</v>
      </c>
      <c r="DP135" s="18" t="s">
        <v>106</v>
      </c>
      <c r="DS135" s="18">
        <v>0</v>
      </c>
      <c r="DT135" s="18">
        <v>1</v>
      </c>
      <c r="DU135" s="18">
        <v>1</v>
      </c>
      <c r="DV135" s="18" t="s">
        <v>5342</v>
      </c>
      <c r="DX135" s="18" t="s">
        <v>5222</v>
      </c>
      <c r="DY135" s="18" t="s">
        <v>106</v>
      </c>
      <c r="DZ135" s="18" t="s">
        <v>106</v>
      </c>
      <c r="EA135" s="18" t="s">
        <v>5175</v>
      </c>
      <c r="EB135" s="18">
        <v>457991</v>
      </c>
      <c r="EC135" s="18" t="s">
        <v>106</v>
      </c>
      <c r="ED135" s="18" t="s">
        <v>5176</v>
      </c>
      <c r="EE135" s="18" t="s">
        <v>106</v>
      </c>
      <c r="EF135" s="18" t="s">
        <v>106</v>
      </c>
      <c r="EG135" s="18" t="s">
        <v>5148</v>
      </c>
      <c r="EH135" s="18" t="s">
        <v>5203</v>
      </c>
      <c r="EI135" s="18" t="s">
        <v>5204</v>
      </c>
      <c r="EJ135" s="18" t="s">
        <v>5245</v>
      </c>
      <c r="EN135" s="18" t="s">
        <v>113</v>
      </c>
      <c r="EO135" s="18" t="s">
        <v>113</v>
      </c>
      <c r="EP135" s="18" t="s">
        <v>113</v>
      </c>
      <c r="EQ135" s="18" t="s">
        <v>113</v>
      </c>
      <c r="ER135" s="18" t="s">
        <v>5289</v>
      </c>
      <c r="ES135" s="18" t="s">
        <v>5736</v>
      </c>
      <c r="ET135" s="18" t="s">
        <v>5154</v>
      </c>
      <c r="EU135" s="18" t="s">
        <v>5155</v>
      </c>
      <c r="EV135" s="18" t="s">
        <v>5730</v>
      </c>
      <c r="EW135" s="18" t="s">
        <v>5247</v>
      </c>
      <c r="EX135" s="18" t="s">
        <v>5158</v>
      </c>
      <c r="EY135" s="18" t="s">
        <v>5159</v>
      </c>
      <c r="EZ135" s="18" t="s">
        <v>5182</v>
      </c>
      <c r="FA135" s="18" t="s">
        <v>144</v>
      </c>
      <c r="FB135" s="18" t="s">
        <v>5161</v>
      </c>
    </row>
    <row r="136" spans="1:158" ht="10.5" customHeight="1" x14ac:dyDescent="0.2">
      <c r="A136" s="16">
        <v>41</v>
      </c>
      <c r="B136" s="16" t="s">
        <v>1476</v>
      </c>
      <c r="C136" s="16" t="s">
        <v>108</v>
      </c>
      <c r="D136" s="16">
        <v>1829225</v>
      </c>
      <c r="E136" s="16" t="s">
        <v>6660</v>
      </c>
      <c r="F136" s="18" t="s">
        <v>108</v>
      </c>
      <c r="G136" s="18" t="s">
        <v>106</v>
      </c>
      <c r="H136" s="15" t="s">
        <v>5127</v>
      </c>
      <c r="I136" s="18">
        <v>16</v>
      </c>
      <c r="J136" s="18">
        <v>10</v>
      </c>
      <c r="K136" s="18">
        <v>6</v>
      </c>
      <c r="M136" s="18" t="s">
        <v>5121</v>
      </c>
      <c r="N136" s="18">
        <v>24001882</v>
      </c>
      <c r="O136" s="18">
        <v>46205</v>
      </c>
      <c r="T136" s="18" t="s">
        <v>5726</v>
      </c>
      <c r="U136" s="18" t="s">
        <v>5185</v>
      </c>
      <c r="V136" s="18" t="s">
        <v>106</v>
      </c>
      <c r="W136" s="18" t="s">
        <v>5124</v>
      </c>
      <c r="Y136" s="18" t="s">
        <v>5162</v>
      </c>
      <c r="Z136" s="18" t="s">
        <v>106</v>
      </c>
      <c r="AA136" s="18" t="s">
        <v>5163</v>
      </c>
      <c r="AB136" s="18" t="s">
        <v>5233</v>
      </c>
      <c r="AC136" s="18" t="s">
        <v>5127</v>
      </c>
      <c r="AD136" s="18" t="s">
        <v>5127</v>
      </c>
      <c r="AE136" s="18" t="s">
        <v>5127</v>
      </c>
      <c r="AF136" s="18" t="s">
        <v>5127</v>
      </c>
      <c r="AG136" s="18" t="s">
        <v>5127</v>
      </c>
      <c r="AH136" s="18" t="s">
        <v>5127</v>
      </c>
      <c r="AI136" s="18">
        <v>1</v>
      </c>
      <c r="AK136" s="18" t="s">
        <v>5164</v>
      </c>
      <c r="AN136" s="18">
        <v>333792</v>
      </c>
      <c r="AO136" s="18" t="s">
        <v>5165</v>
      </c>
      <c r="AP136" s="18" t="s">
        <v>5753</v>
      </c>
      <c r="AQ136" s="18" t="s">
        <v>5311</v>
      </c>
      <c r="AR136" s="18" t="s">
        <v>5727</v>
      </c>
      <c r="AT136" s="17">
        <f>(365*D136*0.7)/1000</f>
        <v>467366.98749999999</v>
      </c>
      <c r="AU136" s="17">
        <f t="shared" si="5"/>
        <v>100.69499999999999</v>
      </c>
      <c r="AV136" s="18">
        <f>47975/1000</f>
        <v>47.975000000000001</v>
      </c>
      <c r="AW136" s="18">
        <f>52720/1000</f>
        <v>52.72</v>
      </c>
      <c r="AY136" s="18" t="s">
        <v>5743</v>
      </c>
      <c r="BG136" s="18" t="s">
        <v>5426</v>
      </c>
      <c r="BQ136" s="18">
        <f>74780/1000</f>
        <v>74.78</v>
      </c>
      <c r="BR136" s="18">
        <f>58275/1000</f>
        <v>58.274999999999999</v>
      </c>
      <c r="BS136" s="18">
        <f>22000/1000</f>
        <v>22</v>
      </c>
      <c r="BT136" s="18">
        <f>78600/1000</f>
        <v>78.599999999999994</v>
      </c>
      <c r="BU136" s="18">
        <v>0</v>
      </c>
      <c r="BV136" s="18">
        <f t="shared" si="4"/>
        <v>233.655</v>
      </c>
      <c r="BW136" s="15">
        <f t="shared" si="6"/>
        <v>233.655</v>
      </c>
      <c r="BY136" s="18" t="s">
        <v>5134</v>
      </c>
      <c r="BZ136" s="18" t="s">
        <v>5688</v>
      </c>
      <c r="CD136" s="18" t="s">
        <v>5127</v>
      </c>
      <c r="CE136" s="18" t="s">
        <v>5127</v>
      </c>
      <c r="CF136" s="18" t="s">
        <v>5135</v>
      </c>
      <c r="CG136" s="18" t="s">
        <v>5550</v>
      </c>
      <c r="CH136" s="18" t="s">
        <v>5556</v>
      </c>
      <c r="CI136" s="18" t="s">
        <v>5195</v>
      </c>
      <c r="CJ136" s="18" t="s">
        <v>5196</v>
      </c>
      <c r="CK136" s="18" t="s">
        <v>5341</v>
      </c>
      <c r="CL136" s="18">
        <v>0</v>
      </c>
      <c r="CM136" s="18">
        <v>1</v>
      </c>
      <c r="CN136" s="18">
        <v>0</v>
      </c>
      <c r="CO136" s="18">
        <v>1</v>
      </c>
      <c r="CP136" s="18">
        <v>0</v>
      </c>
      <c r="CQ136" s="18">
        <v>1</v>
      </c>
      <c r="CR136" s="18" t="s">
        <v>5141</v>
      </c>
      <c r="CS136" s="18" t="s">
        <v>5141</v>
      </c>
      <c r="CT136" s="18">
        <v>0</v>
      </c>
      <c r="CU136" s="18">
        <v>1</v>
      </c>
      <c r="CV136" s="18">
        <v>1</v>
      </c>
      <c r="CX136" s="18">
        <v>1</v>
      </c>
      <c r="CY136" s="18">
        <v>1</v>
      </c>
      <c r="CZ136" s="18">
        <v>1</v>
      </c>
      <c r="DA136" s="18">
        <v>0</v>
      </c>
      <c r="DB136" s="18">
        <v>1</v>
      </c>
      <c r="DC136" s="18">
        <v>1</v>
      </c>
      <c r="DD136" s="18">
        <v>1</v>
      </c>
      <c r="DE136" s="18" t="s">
        <v>5141</v>
      </c>
      <c r="DF136" s="18" t="s">
        <v>5141</v>
      </c>
      <c r="DG136" s="18">
        <v>0</v>
      </c>
      <c r="DH136" s="18">
        <v>1</v>
      </c>
      <c r="DI136" s="18">
        <v>1</v>
      </c>
      <c r="DK136" s="18">
        <v>0</v>
      </c>
      <c r="DL136" s="18">
        <v>0</v>
      </c>
      <c r="DM136" s="18" t="s">
        <v>5127</v>
      </c>
      <c r="DN136" s="18" t="s">
        <v>5258</v>
      </c>
      <c r="DO136" s="18" t="s">
        <v>5742</v>
      </c>
      <c r="DP136" s="18" t="s">
        <v>106</v>
      </c>
      <c r="DS136" s="18">
        <v>0</v>
      </c>
      <c r="DT136" s="18">
        <v>1</v>
      </c>
      <c r="DU136" s="18">
        <v>1</v>
      </c>
      <c r="DV136" s="18" t="s">
        <v>5342</v>
      </c>
      <c r="DX136" s="18" t="s">
        <v>5222</v>
      </c>
      <c r="DY136" s="18" t="s">
        <v>106</v>
      </c>
      <c r="DZ136" s="18" t="s">
        <v>106</v>
      </c>
      <c r="EA136" s="18" t="s">
        <v>5202</v>
      </c>
      <c r="EB136" s="18">
        <v>233655</v>
      </c>
      <c r="EC136" s="18" t="s">
        <v>106</v>
      </c>
      <c r="ED136" s="18" t="s">
        <v>5176</v>
      </c>
      <c r="EE136" s="18" t="s">
        <v>106</v>
      </c>
      <c r="EF136" s="18" t="s">
        <v>106</v>
      </c>
      <c r="EG136" s="18" t="s">
        <v>5148</v>
      </c>
      <c r="EH136" s="18" t="s">
        <v>5203</v>
      </c>
      <c r="EI136" s="18" t="s">
        <v>5204</v>
      </c>
      <c r="EJ136" s="18" t="s">
        <v>5245</v>
      </c>
      <c r="EN136" s="18" t="s">
        <v>113</v>
      </c>
      <c r="EO136" s="18" t="s">
        <v>113</v>
      </c>
      <c r="EP136" s="18" t="s">
        <v>113</v>
      </c>
      <c r="EQ136" s="18" t="s">
        <v>113</v>
      </c>
      <c r="ER136" s="18" t="s">
        <v>5289</v>
      </c>
      <c r="ES136" s="18" t="s">
        <v>5737</v>
      </c>
      <c r="ET136" s="18" t="s">
        <v>5154</v>
      </c>
      <c r="EU136" s="18" t="s">
        <v>5155</v>
      </c>
      <c r="EV136" s="18" t="s">
        <v>5730</v>
      </c>
      <c r="EW136" s="18" t="s">
        <v>5247</v>
      </c>
      <c r="EX136" s="18" t="s">
        <v>5158</v>
      </c>
      <c r="EY136" s="18" t="s">
        <v>5159</v>
      </c>
      <c r="EZ136" s="18" t="s">
        <v>5182</v>
      </c>
      <c r="FA136" s="18" t="s">
        <v>144</v>
      </c>
      <c r="FB136" s="18" t="s">
        <v>5161</v>
      </c>
    </row>
    <row r="137" spans="1:158" ht="10.5" customHeight="1" x14ac:dyDescent="0.2">
      <c r="A137" s="16">
        <v>41</v>
      </c>
      <c r="B137" s="16" t="s">
        <v>1476</v>
      </c>
      <c r="C137" s="16" t="s">
        <v>108</v>
      </c>
      <c r="D137" s="16">
        <v>1829225</v>
      </c>
      <c r="E137" s="16" t="s">
        <v>6660</v>
      </c>
      <c r="F137" s="18" t="s">
        <v>108</v>
      </c>
      <c r="G137" s="18" t="s">
        <v>106</v>
      </c>
      <c r="H137" s="15" t="s">
        <v>5127</v>
      </c>
      <c r="I137" s="18">
        <v>13</v>
      </c>
      <c r="J137" s="18">
        <v>7</v>
      </c>
      <c r="K137" s="18">
        <v>6</v>
      </c>
      <c r="M137" s="18" t="s">
        <v>5183</v>
      </c>
      <c r="N137" s="18">
        <v>25001128</v>
      </c>
      <c r="O137" s="18">
        <v>46505</v>
      </c>
      <c r="T137" s="18" t="s">
        <v>5240</v>
      </c>
      <c r="U137" s="18" t="s">
        <v>5185</v>
      </c>
      <c r="V137" s="18" t="s">
        <v>106</v>
      </c>
      <c r="W137" s="18" t="s">
        <v>5124</v>
      </c>
      <c r="Y137" s="18" t="s">
        <v>5162</v>
      </c>
      <c r="Z137" s="18" t="s">
        <v>106</v>
      </c>
      <c r="AA137" s="18" t="s">
        <v>5267</v>
      </c>
      <c r="AC137" s="18" t="s">
        <v>5127</v>
      </c>
      <c r="AD137" s="18" t="s">
        <v>5127</v>
      </c>
      <c r="AE137" s="18" t="s">
        <v>5127</v>
      </c>
      <c r="AF137" s="18" t="s">
        <v>111</v>
      </c>
      <c r="AG137" s="18" t="s">
        <v>5127</v>
      </c>
      <c r="AH137" s="18" t="s">
        <v>111</v>
      </c>
      <c r="AI137" s="18">
        <v>1</v>
      </c>
      <c r="AK137" s="18" t="s">
        <v>5164</v>
      </c>
      <c r="AN137" s="18">
        <v>414142</v>
      </c>
      <c r="AO137" s="18" t="s">
        <v>5165</v>
      </c>
      <c r="AP137" s="18" t="s">
        <v>5754</v>
      </c>
      <c r="AQ137" s="18" t="s">
        <v>5311</v>
      </c>
      <c r="AR137" s="18" t="s">
        <v>5727</v>
      </c>
      <c r="AT137" s="17">
        <f>(365*D137*0.7)/1000</f>
        <v>467366.98749999999</v>
      </c>
      <c r="AU137" s="17">
        <f t="shared" si="5"/>
        <v>124.24299999999999</v>
      </c>
      <c r="AV137" s="18">
        <f>37923/1000</f>
        <v>37.923000000000002</v>
      </c>
      <c r="AW137" s="18">
        <f>86320/1000</f>
        <v>86.32</v>
      </c>
      <c r="AY137" s="18" t="s">
        <v>5743</v>
      </c>
      <c r="BG137" s="18" t="s">
        <v>5133</v>
      </c>
      <c r="BQ137" s="18">
        <f>104940/1000</f>
        <v>104.94</v>
      </c>
      <c r="BR137" s="18">
        <f>61700/1000</f>
        <v>61.7</v>
      </c>
      <c r="BS137" s="18">
        <f>25800/1000</f>
        <v>25.8</v>
      </c>
      <c r="BT137" s="18">
        <f>97460/1000</f>
        <v>97.46</v>
      </c>
      <c r="BU137" s="18">
        <v>0</v>
      </c>
      <c r="BV137" s="18">
        <f t="shared" si="4"/>
        <v>289.89999999999998</v>
      </c>
      <c r="BW137" s="15">
        <f t="shared" si="6"/>
        <v>289.89999999999998</v>
      </c>
      <c r="BY137" s="18" t="s">
        <v>5134</v>
      </c>
      <c r="BZ137" s="18" t="s">
        <v>5688</v>
      </c>
      <c r="CD137" s="18" t="s">
        <v>5127</v>
      </c>
      <c r="CE137" s="18" t="s">
        <v>5127</v>
      </c>
      <c r="CF137" s="18" t="s">
        <v>5135</v>
      </c>
      <c r="CG137" s="18" t="s">
        <v>5550</v>
      </c>
      <c r="CH137" s="18" t="s">
        <v>5556</v>
      </c>
      <c r="CI137" s="18" t="s">
        <v>5195</v>
      </c>
      <c r="CJ137" s="18" t="s">
        <v>5196</v>
      </c>
      <c r="CK137" s="18" t="s">
        <v>5341</v>
      </c>
      <c r="CL137" s="18">
        <v>0</v>
      </c>
      <c r="CM137" s="18">
        <v>1</v>
      </c>
      <c r="CN137" s="18">
        <v>0</v>
      </c>
      <c r="CO137" s="18">
        <v>1</v>
      </c>
      <c r="CP137" s="18">
        <v>0</v>
      </c>
      <c r="CQ137" s="18">
        <v>1</v>
      </c>
      <c r="CR137" s="18" t="s">
        <v>5141</v>
      </c>
      <c r="CS137" s="18" t="s">
        <v>5141</v>
      </c>
      <c r="CT137" s="18">
        <v>0</v>
      </c>
      <c r="CU137" s="18">
        <v>1</v>
      </c>
      <c r="CV137" s="18">
        <v>1</v>
      </c>
      <c r="CX137" s="18">
        <v>1</v>
      </c>
      <c r="CY137" s="18">
        <v>1</v>
      </c>
      <c r="CZ137" s="18">
        <v>1</v>
      </c>
      <c r="DA137" s="18">
        <v>1</v>
      </c>
      <c r="DB137" s="18">
        <v>1</v>
      </c>
      <c r="DC137" s="18">
        <v>1</v>
      </c>
      <c r="DD137" s="18">
        <v>1</v>
      </c>
      <c r="DE137" s="18" t="s">
        <v>5141</v>
      </c>
      <c r="DF137" s="18" t="s">
        <v>5141</v>
      </c>
      <c r="DG137" s="18">
        <v>0</v>
      </c>
      <c r="DH137" s="18">
        <v>1</v>
      </c>
      <c r="DI137" s="18">
        <v>1</v>
      </c>
      <c r="DK137" s="18">
        <v>0</v>
      </c>
      <c r="DL137" s="18">
        <v>0</v>
      </c>
      <c r="DM137" s="18" t="s">
        <v>5127</v>
      </c>
      <c r="DN137" s="18" t="s">
        <v>5258</v>
      </c>
      <c r="DO137" s="18" t="s">
        <v>5742</v>
      </c>
      <c r="DP137" s="18" t="s">
        <v>106</v>
      </c>
      <c r="DS137" s="18">
        <v>0</v>
      </c>
      <c r="DT137" s="18">
        <v>1</v>
      </c>
      <c r="DU137" s="18">
        <v>1</v>
      </c>
      <c r="DV137" s="18" t="s">
        <v>5342</v>
      </c>
      <c r="DX137" s="18" t="s">
        <v>5222</v>
      </c>
      <c r="DY137" s="18" t="s">
        <v>106</v>
      </c>
      <c r="DZ137" s="18" t="s">
        <v>106</v>
      </c>
      <c r="EA137" s="18" t="s">
        <v>5175</v>
      </c>
      <c r="EB137" s="18">
        <v>289900</v>
      </c>
      <c r="EC137" s="18" t="s">
        <v>106</v>
      </c>
      <c r="ED137" s="18" t="s">
        <v>5176</v>
      </c>
      <c r="EE137" s="18" t="s">
        <v>106</v>
      </c>
      <c r="EF137" s="18" t="s">
        <v>106</v>
      </c>
      <c r="EG137" s="18" t="s">
        <v>5148</v>
      </c>
      <c r="EH137" s="18" t="s">
        <v>5203</v>
      </c>
      <c r="EI137" s="18" t="s">
        <v>5204</v>
      </c>
      <c r="EJ137" s="18" t="s">
        <v>5245</v>
      </c>
      <c r="EN137" s="18" t="s">
        <v>113</v>
      </c>
      <c r="EO137" s="18" t="s">
        <v>113</v>
      </c>
      <c r="EP137" s="18" t="s">
        <v>113</v>
      </c>
      <c r="EQ137" s="18" t="s">
        <v>113</v>
      </c>
      <c r="ER137" s="18" t="s">
        <v>5328</v>
      </c>
      <c r="ES137" s="18" t="s">
        <v>5378</v>
      </c>
      <c r="ET137" s="18" t="s">
        <v>5154</v>
      </c>
      <c r="EU137" s="18" t="s">
        <v>5155</v>
      </c>
      <c r="EV137" s="18" t="s">
        <v>5730</v>
      </c>
      <c r="EW137" s="18" t="s">
        <v>5247</v>
      </c>
      <c r="EX137" s="18" t="s">
        <v>5158</v>
      </c>
      <c r="EY137" s="18" t="s">
        <v>5181</v>
      </c>
      <c r="EZ137" s="18" t="s">
        <v>5182</v>
      </c>
      <c r="FA137" s="18" t="s">
        <v>144</v>
      </c>
      <c r="FB137" s="18" t="s">
        <v>5161</v>
      </c>
    </row>
    <row r="138" spans="1:158" ht="10.5" customHeight="1" x14ac:dyDescent="0.2">
      <c r="A138" s="16">
        <v>41</v>
      </c>
      <c r="B138" s="16" t="s">
        <v>1476</v>
      </c>
      <c r="C138" s="16" t="s">
        <v>108</v>
      </c>
      <c r="D138" s="16">
        <v>1829225</v>
      </c>
      <c r="E138" s="16" t="s">
        <v>6660</v>
      </c>
      <c r="F138" s="18" t="s">
        <v>108</v>
      </c>
      <c r="G138" s="18" t="s">
        <v>106</v>
      </c>
      <c r="H138" s="15" t="s">
        <v>5127</v>
      </c>
      <c r="I138" s="18">
        <v>17</v>
      </c>
      <c r="J138" s="18">
        <v>10</v>
      </c>
      <c r="K138" s="18">
        <v>7</v>
      </c>
      <c r="M138" s="18" t="s">
        <v>5121</v>
      </c>
      <c r="N138" s="18">
        <v>5000066</v>
      </c>
      <c r="O138" s="18">
        <v>47156</v>
      </c>
      <c r="T138" s="18" t="s">
        <v>5726</v>
      </c>
      <c r="U138" s="18" t="s">
        <v>5185</v>
      </c>
      <c r="V138" s="18" t="s">
        <v>106</v>
      </c>
      <c r="W138" s="18" t="s">
        <v>5124</v>
      </c>
      <c r="Y138" s="18" t="s">
        <v>5162</v>
      </c>
      <c r="Z138" s="18" t="s">
        <v>106</v>
      </c>
      <c r="AA138" s="18" t="s">
        <v>5267</v>
      </c>
      <c r="AC138" s="18" t="s">
        <v>5127</v>
      </c>
      <c r="AD138" s="18" t="s">
        <v>5127</v>
      </c>
      <c r="AE138" s="18" t="s">
        <v>5127</v>
      </c>
      <c r="AF138" s="18" t="s">
        <v>5127</v>
      </c>
      <c r="AG138" s="18" t="s">
        <v>5127</v>
      </c>
      <c r="AH138" s="18" t="s">
        <v>5127</v>
      </c>
      <c r="AI138" s="18">
        <v>1</v>
      </c>
      <c r="AK138" s="18" t="s">
        <v>5164</v>
      </c>
      <c r="AN138" s="18">
        <v>638877</v>
      </c>
      <c r="AO138" s="18" t="s">
        <v>5165</v>
      </c>
      <c r="AP138" s="18" t="s">
        <v>5753</v>
      </c>
      <c r="AQ138" s="18" t="s">
        <v>5269</v>
      </c>
      <c r="AR138" s="18" t="s">
        <v>5727</v>
      </c>
      <c r="AT138" s="17">
        <f>(365*D138*0.7)/1000</f>
        <v>467366.98749999999</v>
      </c>
      <c r="AU138" s="17">
        <f t="shared" si="5"/>
        <v>205.16300000000001</v>
      </c>
      <c r="AV138" s="18">
        <f>67643/1000</f>
        <v>67.643000000000001</v>
      </c>
      <c r="AW138" s="18">
        <f>137520/1000</f>
        <v>137.52000000000001</v>
      </c>
      <c r="AY138" s="18" t="s">
        <v>5743</v>
      </c>
      <c r="BG138" s="18" t="s">
        <v>5133</v>
      </c>
      <c r="BQ138" s="18">
        <f>214060/1000</f>
        <v>214.06</v>
      </c>
      <c r="BR138" s="18">
        <f>101309/1000</f>
        <v>101.309</v>
      </c>
      <c r="BS138" s="18">
        <f>29255/1000</f>
        <v>29.254999999999999</v>
      </c>
      <c r="BT138" s="18">
        <f>134090/1000</f>
        <v>134.09</v>
      </c>
      <c r="BU138" s="18">
        <v>0</v>
      </c>
      <c r="BV138" s="18">
        <f t="shared" si="4"/>
        <v>478.71400000000006</v>
      </c>
      <c r="BW138" s="15">
        <f t="shared" si="6"/>
        <v>478.71400000000006</v>
      </c>
      <c r="BY138" s="18" t="s">
        <v>5134</v>
      </c>
      <c r="BZ138" s="18" t="s">
        <v>5688</v>
      </c>
      <c r="CD138" s="18" t="s">
        <v>5127</v>
      </c>
      <c r="CE138" s="18" t="s">
        <v>5127</v>
      </c>
      <c r="CF138" s="18" t="s">
        <v>5135</v>
      </c>
      <c r="CG138" s="18" t="s">
        <v>5193</v>
      </c>
      <c r="CH138" s="18" t="s">
        <v>5556</v>
      </c>
      <c r="CI138" s="18" t="s">
        <v>5195</v>
      </c>
      <c r="CJ138" s="18" t="s">
        <v>5196</v>
      </c>
      <c r="CK138" s="18" t="s">
        <v>5341</v>
      </c>
      <c r="CL138" s="18">
        <v>0</v>
      </c>
      <c r="CM138" s="18">
        <v>1</v>
      </c>
      <c r="CN138" s="18">
        <v>0</v>
      </c>
      <c r="CO138" s="18">
        <v>1</v>
      </c>
      <c r="CP138" s="18">
        <v>1</v>
      </c>
      <c r="CQ138" s="18">
        <v>1</v>
      </c>
      <c r="CR138" s="18" t="s">
        <v>5141</v>
      </c>
      <c r="CS138" s="18" t="s">
        <v>5141</v>
      </c>
      <c r="CT138" s="18">
        <v>0</v>
      </c>
      <c r="CU138" s="18">
        <v>1</v>
      </c>
      <c r="CV138" s="18">
        <v>1</v>
      </c>
      <c r="CX138" s="18">
        <v>1</v>
      </c>
      <c r="CY138" s="18">
        <v>1</v>
      </c>
      <c r="CZ138" s="18">
        <v>1</v>
      </c>
      <c r="DA138" s="18">
        <v>1</v>
      </c>
      <c r="DB138" s="18">
        <v>1</v>
      </c>
      <c r="DC138" s="18">
        <v>1</v>
      </c>
      <c r="DD138" s="18">
        <v>1</v>
      </c>
      <c r="DE138" s="18" t="s">
        <v>5141</v>
      </c>
      <c r="DF138" s="18" t="s">
        <v>5141</v>
      </c>
      <c r="DG138" s="18">
        <v>1</v>
      </c>
      <c r="DH138" s="18">
        <v>1</v>
      </c>
      <c r="DI138" s="18">
        <v>2</v>
      </c>
      <c r="DK138" s="18">
        <v>0</v>
      </c>
      <c r="DL138" s="18">
        <v>0</v>
      </c>
      <c r="DM138" s="18" t="s">
        <v>5127</v>
      </c>
      <c r="DN138" s="18" t="s">
        <v>5258</v>
      </c>
      <c r="DO138" s="18" t="s">
        <v>5488</v>
      </c>
      <c r="DP138" s="18" t="s">
        <v>113</v>
      </c>
      <c r="DS138" s="18">
        <v>0</v>
      </c>
      <c r="DT138" s="18">
        <v>1</v>
      </c>
      <c r="DU138" s="18">
        <v>1</v>
      </c>
      <c r="DV138" s="18" t="s">
        <v>5342</v>
      </c>
      <c r="DX138" s="18" t="s">
        <v>5222</v>
      </c>
      <c r="DY138" s="18" t="s">
        <v>106</v>
      </c>
      <c r="DZ138" s="18" t="s">
        <v>106</v>
      </c>
      <c r="EA138" s="18" t="s">
        <v>5175</v>
      </c>
      <c r="EB138" s="18">
        <v>478714</v>
      </c>
      <c r="EC138" s="18" t="s">
        <v>106</v>
      </c>
      <c r="ED138" s="18" t="s">
        <v>5176</v>
      </c>
      <c r="EE138" s="18" t="s">
        <v>106</v>
      </c>
      <c r="EF138" s="18" t="s">
        <v>106</v>
      </c>
      <c r="EG138" s="18" t="s">
        <v>5148</v>
      </c>
      <c r="EH138" s="18" t="s">
        <v>5203</v>
      </c>
      <c r="EI138" s="18" t="s">
        <v>5204</v>
      </c>
      <c r="EJ138" s="18" t="s">
        <v>5245</v>
      </c>
      <c r="EN138" s="18" t="s">
        <v>106</v>
      </c>
      <c r="EO138" s="18" t="s">
        <v>113</v>
      </c>
      <c r="EP138" s="18" t="s">
        <v>113</v>
      </c>
      <c r="EQ138" s="18" t="s">
        <v>113</v>
      </c>
      <c r="ER138" s="18" t="s">
        <v>5289</v>
      </c>
      <c r="ES138" s="18" t="s">
        <v>5737</v>
      </c>
      <c r="ET138" s="18" t="s">
        <v>5154</v>
      </c>
      <c r="EU138" s="18" t="s">
        <v>5155</v>
      </c>
      <c r="EV138" s="18" t="s">
        <v>5730</v>
      </c>
      <c r="EW138" s="18" t="s">
        <v>5247</v>
      </c>
      <c r="EX138" s="18" t="s">
        <v>5158</v>
      </c>
      <c r="EY138" s="18" t="s">
        <v>5181</v>
      </c>
      <c r="EZ138" s="18" t="s">
        <v>5182</v>
      </c>
      <c r="FA138" s="18" t="s">
        <v>144</v>
      </c>
      <c r="FB138" s="18" t="s">
        <v>5161</v>
      </c>
    </row>
    <row r="139" spans="1:158" ht="10.5" customHeight="1" x14ac:dyDescent="0.2">
      <c r="A139" s="16">
        <v>41</v>
      </c>
      <c r="B139" s="16" t="s">
        <v>1476</v>
      </c>
      <c r="C139" s="16" t="s">
        <v>108</v>
      </c>
      <c r="D139" s="16">
        <v>1829225</v>
      </c>
      <c r="E139" s="16" t="s">
        <v>6660</v>
      </c>
      <c r="F139" s="18" t="s">
        <v>108</v>
      </c>
      <c r="G139" s="18" t="s">
        <v>106</v>
      </c>
      <c r="H139" s="15" t="s">
        <v>5127</v>
      </c>
      <c r="I139" s="18">
        <v>11</v>
      </c>
      <c r="J139" s="18">
        <v>6</v>
      </c>
      <c r="K139" s="18">
        <v>5</v>
      </c>
      <c r="M139" s="18" t="s">
        <v>5183</v>
      </c>
      <c r="N139" s="18">
        <v>23003815</v>
      </c>
      <c r="O139" s="18">
        <v>45955</v>
      </c>
      <c r="T139" s="18" t="s">
        <v>5240</v>
      </c>
      <c r="U139" s="18" t="s">
        <v>5185</v>
      </c>
      <c r="V139" s="18" t="s">
        <v>106</v>
      </c>
      <c r="W139" s="18" t="s">
        <v>5124</v>
      </c>
      <c r="Y139" s="18" t="s">
        <v>5232</v>
      </c>
      <c r="Z139" s="18" t="s">
        <v>106</v>
      </c>
      <c r="AA139" s="18" t="s">
        <v>5267</v>
      </c>
      <c r="AC139" s="18" t="s">
        <v>5127</v>
      </c>
      <c r="AD139" s="18" t="s">
        <v>5127</v>
      </c>
      <c r="AE139" s="18" t="s">
        <v>5127</v>
      </c>
      <c r="AF139" s="18" t="s">
        <v>5127</v>
      </c>
      <c r="AG139" s="18" t="s">
        <v>5127</v>
      </c>
      <c r="AH139" s="18" t="s">
        <v>111</v>
      </c>
      <c r="AI139" s="18">
        <v>1</v>
      </c>
      <c r="AK139" s="18" t="s">
        <v>5164</v>
      </c>
      <c r="AN139" s="18">
        <v>340218</v>
      </c>
      <c r="AO139" s="18" t="s">
        <v>5165</v>
      </c>
      <c r="AP139" s="18" t="s">
        <v>5755</v>
      </c>
      <c r="AQ139" s="18" t="s">
        <v>5311</v>
      </c>
      <c r="AR139" s="18" t="s">
        <v>5727</v>
      </c>
      <c r="AT139" s="17">
        <f>(365*D139*0.7)/1000</f>
        <v>467366.98749999999</v>
      </c>
      <c r="AU139" s="17">
        <f t="shared" si="5"/>
        <v>102.066</v>
      </c>
      <c r="AV139" s="18">
        <f>6276/1000</f>
        <v>6.2759999999999998</v>
      </c>
      <c r="AW139" s="18">
        <f>95790/1000</f>
        <v>95.79</v>
      </c>
      <c r="AY139" s="18" t="s">
        <v>5728</v>
      </c>
      <c r="BG139" s="18" t="s">
        <v>5663</v>
      </c>
      <c r="BQ139" s="18">
        <f>100570/1000</f>
        <v>100.57</v>
      </c>
      <c r="BR139" s="18">
        <f>67650/1000</f>
        <v>67.650000000000006</v>
      </c>
      <c r="BS139" s="18">
        <f>20053/1000</f>
        <v>20.053000000000001</v>
      </c>
      <c r="BT139" s="18">
        <f>49880/1000</f>
        <v>49.88</v>
      </c>
      <c r="BU139" s="18">
        <v>0</v>
      </c>
      <c r="BV139" s="18">
        <f t="shared" si="4"/>
        <v>238.15299999999999</v>
      </c>
      <c r="BW139" s="15">
        <f t="shared" si="6"/>
        <v>238.15299999999999</v>
      </c>
      <c r="BY139" s="18" t="s">
        <v>5134</v>
      </c>
      <c r="BZ139" s="18" t="s">
        <v>5688</v>
      </c>
      <c r="CD139" s="18" t="s">
        <v>5127</v>
      </c>
      <c r="CE139" s="18" t="s">
        <v>5127</v>
      </c>
      <c r="CF139" s="18" t="s">
        <v>5135</v>
      </c>
      <c r="CG139" s="18" t="s">
        <v>5550</v>
      </c>
      <c r="CH139" s="18" t="s">
        <v>5194</v>
      </c>
      <c r="CI139" s="18" t="s">
        <v>5195</v>
      </c>
      <c r="CJ139" s="18" t="s">
        <v>5196</v>
      </c>
      <c r="CK139" s="18" t="s">
        <v>5341</v>
      </c>
      <c r="CL139" s="18">
        <v>0</v>
      </c>
      <c r="CM139" s="18">
        <v>1</v>
      </c>
      <c r="CN139" s="18">
        <v>0</v>
      </c>
      <c r="CO139" s="18">
        <v>1</v>
      </c>
      <c r="CP139" s="18">
        <v>1</v>
      </c>
      <c r="CQ139" s="18">
        <v>0</v>
      </c>
      <c r="CR139" s="18" t="s">
        <v>5141</v>
      </c>
      <c r="CS139" s="18" t="s">
        <v>5141</v>
      </c>
      <c r="CT139" s="18">
        <v>0</v>
      </c>
      <c r="CU139" s="18">
        <v>1</v>
      </c>
      <c r="CV139" s="18">
        <v>1</v>
      </c>
      <c r="CX139" s="18">
        <v>1</v>
      </c>
      <c r="CY139" s="18">
        <v>1</v>
      </c>
      <c r="CZ139" s="18">
        <v>1</v>
      </c>
      <c r="DA139" s="18">
        <v>0</v>
      </c>
      <c r="DB139" s="18">
        <v>1</v>
      </c>
      <c r="DC139" s="18">
        <v>1</v>
      </c>
      <c r="DD139" s="18">
        <v>1</v>
      </c>
      <c r="DE139" s="18" t="s">
        <v>5141</v>
      </c>
      <c r="DF139" s="18" t="s">
        <v>5141</v>
      </c>
      <c r="DG139" s="18">
        <v>0</v>
      </c>
      <c r="DH139" s="18">
        <v>2</v>
      </c>
      <c r="DI139" s="18">
        <v>2</v>
      </c>
      <c r="DK139" s="18">
        <v>0</v>
      </c>
      <c r="DL139" s="18">
        <v>0</v>
      </c>
      <c r="DM139" s="18" t="s">
        <v>5127</v>
      </c>
      <c r="DN139" s="18" t="s">
        <v>5172</v>
      </c>
      <c r="DO139" s="18" t="s">
        <v>5371</v>
      </c>
      <c r="DP139" s="18" t="s">
        <v>106</v>
      </c>
      <c r="DS139" s="18">
        <v>0</v>
      </c>
      <c r="DT139" s="18">
        <v>1</v>
      </c>
      <c r="DU139" s="18">
        <v>1</v>
      </c>
      <c r="DV139" s="18" t="s">
        <v>5301</v>
      </c>
      <c r="DX139" s="18" t="s">
        <v>5222</v>
      </c>
      <c r="DY139" s="18" t="s">
        <v>106</v>
      </c>
      <c r="DZ139" s="18" t="s">
        <v>106</v>
      </c>
      <c r="EA139" s="18" t="s">
        <v>5243</v>
      </c>
      <c r="EB139" s="18">
        <v>238153</v>
      </c>
      <c r="EC139" s="18" t="s">
        <v>106</v>
      </c>
      <c r="ED139" s="18" t="s">
        <v>5176</v>
      </c>
      <c r="EE139" s="18" t="s">
        <v>106</v>
      </c>
      <c r="EF139" s="18" t="s">
        <v>106</v>
      </c>
      <c r="EG139" s="18" t="s">
        <v>5148</v>
      </c>
      <c r="EH139" s="18" t="s">
        <v>5203</v>
      </c>
      <c r="EI139" s="18" t="s">
        <v>5204</v>
      </c>
      <c r="EJ139" s="18" t="s">
        <v>5245</v>
      </c>
      <c r="EN139" s="18" t="s">
        <v>113</v>
      </c>
      <c r="EO139" s="18" t="s">
        <v>113</v>
      </c>
      <c r="EP139" s="18" t="s">
        <v>113</v>
      </c>
      <c r="EQ139" s="18" t="s">
        <v>113</v>
      </c>
      <c r="ER139" s="18" t="s">
        <v>5289</v>
      </c>
      <c r="ES139" s="18" t="s">
        <v>5744</v>
      </c>
      <c r="ET139" s="18" t="s">
        <v>5154</v>
      </c>
      <c r="EU139" s="18" t="s">
        <v>5155</v>
      </c>
      <c r="EV139" s="18" t="s">
        <v>5730</v>
      </c>
      <c r="EW139" s="18" t="s">
        <v>5247</v>
      </c>
      <c r="EX139" s="18" t="s">
        <v>5158</v>
      </c>
      <c r="EY139" s="18" t="s">
        <v>5181</v>
      </c>
      <c r="EZ139" s="18" t="s">
        <v>5182</v>
      </c>
      <c r="FA139" s="18" t="s">
        <v>144</v>
      </c>
      <c r="FB139" s="18" t="s">
        <v>5161</v>
      </c>
    </row>
    <row r="140" spans="1:158" ht="10.5" customHeight="1" x14ac:dyDescent="0.2">
      <c r="A140" s="16">
        <v>41</v>
      </c>
      <c r="B140" s="16" t="s">
        <v>1476</v>
      </c>
      <c r="C140" s="16" t="s">
        <v>108</v>
      </c>
      <c r="D140" s="16">
        <v>1829225</v>
      </c>
      <c r="E140" s="16" t="s">
        <v>6660</v>
      </c>
      <c r="F140" s="18" t="s">
        <v>108</v>
      </c>
      <c r="G140" s="18" t="s">
        <v>106</v>
      </c>
      <c r="H140" s="15" t="s">
        <v>5127</v>
      </c>
      <c r="I140" s="18">
        <v>10</v>
      </c>
      <c r="J140" s="18">
        <v>6</v>
      </c>
      <c r="K140" s="18">
        <v>4</v>
      </c>
      <c r="M140" s="18" t="s">
        <v>5183</v>
      </c>
      <c r="N140" s="18">
        <v>24002008</v>
      </c>
      <c r="O140" s="18">
        <v>45991</v>
      </c>
      <c r="T140" s="18" t="s">
        <v>111</v>
      </c>
      <c r="U140" s="18" t="s">
        <v>5185</v>
      </c>
      <c r="V140" s="18" t="s">
        <v>106</v>
      </c>
      <c r="W140" s="18" t="s">
        <v>5124</v>
      </c>
      <c r="Y140" s="18" t="s">
        <v>5232</v>
      </c>
      <c r="Z140" s="18" t="s">
        <v>106</v>
      </c>
      <c r="AA140" s="18" t="s">
        <v>5267</v>
      </c>
      <c r="AC140" s="18" t="s">
        <v>5127</v>
      </c>
      <c r="AD140" s="18" t="s">
        <v>5127</v>
      </c>
      <c r="AE140" s="18" t="s">
        <v>5127</v>
      </c>
      <c r="AF140" s="18" t="s">
        <v>5127</v>
      </c>
      <c r="AG140" s="18" t="s">
        <v>5127</v>
      </c>
      <c r="AH140" s="18" t="s">
        <v>5127</v>
      </c>
      <c r="AI140" s="18">
        <v>1</v>
      </c>
      <c r="AK140" s="18" t="s">
        <v>5164</v>
      </c>
      <c r="AN140" s="18">
        <v>251578</v>
      </c>
      <c r="AO140" s="18" t="s">
        <v>5165</v>
      </c>
      <c r="AP140" s="18" t="s">
        <v>5755</v>
      </c>
      <c r="AQ140" s="18" t="s">
        <v>5311</v>
      </c>
      <c r="AR140" s="18" t="s">
        <v>5727</v>
      </c>
      <c r="AT140" s="17">
        <f>(365*D140*0.7)/1000</f>
        <v>467366.98749999999</v>
      </c>
      <c r="AU140" s="17">
        <f t="shared" si="5"/>
        <v>75.474000000000004</v>
      </c>
      <c r="AV140" s="18">
        <f>39054/1000</f>
        <v>39.054000000000002</v>
      </c>
      <c r="AW140" s="18">
        <f>36420/1000</f>
        <v>36.42</v>
      </c>
      <c r="AY140" s="18" t="s">
        <v>5728</v>
      </c>
      <c r="BG140" s="18" t="s">
        <v>5663</v>
      </c>
      <c r="BQ140" s="18">
        <f>94526/1000</f>
        <v>94.525999999999996</v>
      </c>
      <c r="BR140" s="18">
        <f>45553/1000</f>
        <v>45.552999999999997</v>
      </c>
      <c r="BS140" s="18">
        <f>18220/1000</f>
        <v>18.22</v>
      </c>
      <c r="BT140" s="18">
        <v>300</v>
      </c>
      <c r="BU140" s="18">
        <v>0</v>
      </c>
      <c r="BV140" s="18">
        <f t="shared" si="4"/>
        <v>458.29899999999998</v>
      </c>
      <c r="BW140" s="15">
        <f t="shared" si="6"/>
        <v>458.29899999999998</v>
      </c>
      <c r="BY140" s="18" t="s">
        <v>5134</v>
      </c>
      <c r="BZ140" s="18" t="s">
        <v>5688</v>
      </c>
      <c r="CD140" s="18" t="s">
        <v>5127</v>
      </c>
      <c r="CE140" s="18" t="s">
        <v>5127</v>
      </c>
      <c r="CF140" s="18" t="s">
        <v>5135</v>
      </c>
      <c r="CG140" s="18" t="s">
        <v>5550</v>
      </c>
      <c r="CH140" s="18" t="s">
        <v>5556</v>
      </c>
      <c r="CI140" s="18" t="s">
        <v>5195</v>
      </c>
      <c r="CJ140" s="18" t="s">
        <v>5196</v>
      </c>
      <c r="CK140" s="18" t="s">
        <v>5341</v>
      </c>
      <c r="CL140" s="18">
        <v>1</v>
      </c>
      <c r="CM140" s="18">
        <v>1</v>
      </c>
      <c r="CN140" s="18">
        <v>0</v>
      </c>
      <c r="CO140" s="18">
        <v>1</v>
      </c>
      <c r="CP140" s="18">
        <v>1</v>
      </c>
      <c r="CQ140" s="18">
        <v>1</v>
      </c>
      <c r="CR140" s="18" t="s">
        <v>5141</v>
      </c>
      <c r="CS140" s="18" t="s">
        <v>5141</v>
      </c>
      <c r="CT140" s="18">
        <v>0</v>
      </c>
      <c r="CU140" s="18">
        <v>1</v>
      </c>
      <c r="CV140" s="18">
        <v>1</v>
      </c>
      <c r="CX140" s="18">
        <v>1</v>
      </c>
      <c r="CY140" s="18">
        <v>1</v>
      </c>
      <c r="CZ140" s="18">
        <v>1</v>
      </c>
      <c r="DA140" s="18">
        <v>0</v>
      </c>
      <c r="DB140" s="18">
        <v>1</v>
      </c>
      <c r="DC140" s="18">
        <v>1</v>
      </c>
      <c r="DD140" s="18">
        <v>1</v>
      </c>
      <c r="DE140" s="18" t="s">
        <v>5141</v>
      </c>
      <c r="DF140" s="18" t="s">
        <v>5141</v>
      </c>
      <c r="DG140" s="18">
        <v>0</v>
      </c>
      <c r="DH140" s="18">
        <v>1</v>
      </c>
      <c r="DI140" s="18">
        <v>2</v>
      </c>
      <c r="DK140" s="18">
        <v>0</v>
      </c>
      <c r="DL140" s="18">
        <v>0</v>
      </c>
      <c r="DM140" s="18" t="s">
        <v>5127</v>
      </c>
      <c r="DN140" s="18" t="s">
        <v>5172</v>
      </c>
      <c r="DO140" s="18" t="s">
        <v>5371</v>
      </c>
      <c r="DP140" s="18" t="s">
        <v>106</v>
      </c>
      <c r="DS140" s="18">
        <v>0</v>
      </c>
      <c r="DT140" s="18">
        <v>1</v>
      </c>
      <c r="DU140" s="18">
        <v>1</v>
      </c>
      <c r="DV140" s="18" t="s">
        <v>5301</v>
      </c>
      <c r="DX140" s="18" t="s">
        <v>5222</v>
      </c>
      <c r="DY140" s="18" t="s">
        <v>106</v>
      </c>
      <c r="DZ140" s="18" t="s">
        <v>106</v>
      </c>
      <c r="EA140" s="18" t="s">
        <v>5243</v>
      </c>
      <c r="EB140" s="18">
        <v>176105</v>
      </c>
      <c r="EC140" s="18" t="s">
        <v>106</v>
      </c>
      <c r="ED140" s="18" t="s">
        <v>5176</v>
      </c>
      <c r="EE140" s="18" t="s">
        <v>106</v>
      </c>
      <c r="EF140" s="18" t="s">
        <v>106</v>
      </c>
      <c r="EG140" s="18" t="s">
        <v>5148</v>
      </c>
      <c r="EH140" s="18" t="s">
        <v>5203</v>
      </c>
      <c r="EI140" s="18" t="s">
        <v>5204</v>
      </c>
      <c r="EJ140" s="18" t="s">
        <v>5245</v>
      </c>
      <c r="EN140" s="18" t="s">
        <v>113</v>
      </c>
      <c r="EO140" s="18" t="s">
        <v>113</v>
      </c>
      <c r="EP140" s="18" t="s">
        <v>113</v>
      </c>
      <c r="EQ140" s="18" t="s">
        <v>113</v>
      </c>
      <c r="ER140" s="18" t="s">
        <v>5289</v>
      </c>
      <c r="ES140" s="18" t="s">
        <v>5756</v>
      </c>
      <c r="ET140" s="18" t="s">
        <v>5154</v>
      </c>
      <c r="EU140" s="18" t="s">
        <v>5155</v>
      </c>
      <c r="EV140" s="18" t="s">
        <v>5730</v>
      </c>
      <c r="EW140" s="18" t="s">
        <v>5247</v>
      </c>
      <c r="EX140" s="18" t="s">
        <v>5158</v>
      </c>
      <c r="EY140" s="18" t="s">
        <v>5181</v>
      </c>
      <c r="EZ140" s="18" t="s">
        <v>5182</v>
      </c>
      <c r="FA140" s="18" t="s">
        <v>144</v>
      </c>
      <c r="FB140" s="18" t="s">
        <v>5161</v>
      </c>
    </row>
    <row r="141" spans="1:158" ht="10.5" customHeight="1" x14ac:dyDescent="0.2">
      <c r="A141" s="16">
        <v>41</v>
      </c>
      <c r="B141" s="16" t="s">
        <v>1476</v>
      </c>
      <c r="C141" s="16" t="s">
        <v>108</v>
      </c>
      <c r="D141" s="16">
        <v>1829225</v>
      </c>
      <c r="E141" s="16" t="s">
        <v>6660</v>
      </c>
      <c r="F141" s="18" t="s">
        <v>108</v>
      </c>
      <c r="G141" s="18" t="s">
        <v>106</v>
      </c>
      <c r="H141" s="15" t="s">
        <v>5127</v>
      </c>
      <c r="I141" s="18">
        <v>14</v>
      </c>
      <c r="J141" s="18">
        <v>8</v>
      </c>
      <c r="K141" s="18">
        <v>6</v>
      </c>
      <c r="M141" s="18" t="s">
        <v>5183</v>
      </c>
      <c r="N141" s="18">
        <v>23003529</v>
      </c>
      <c r="O141" s="18">
        <v>45930</v>
      </c>
      <c r="T141" s="18" t="s">
        <v>5757</v>
      </c>
      <c r="U141" s="18" t="s">
        <v>5185</v>
      </c>
      <c r="V141" s="18" t="s">
        <v>106</v>
      </c>
      <c r="W141" s="18" t="s">
        <v>5124</v>
      </c>
      <c r="Y141" s="18" t="s">
        <v>5232</v>
      </c>
      <c r="Z141" s="18" t="s">
        <v>106</v>
      </c>
      <c r="AA141" s="18" t="s">
        <v>5163</v>
      </c>
      <c r="AB141" s="18" t="s">
        <v>5233</v>
      </c>
      <c r="AC141" s="18" t="s">
        <v>5127</v>
      </c>
      <c r="AD141" s="18" t="s">
        <v>5127</v>
      </c>
      <c r="AE141" s="18" t="s">
        <v>5127</v>
      </c>
      <c r="AF141" s="18" t="s">
        <v>5127</v>
      </c>
      <c r="AG141" s="18" t="s">
        <v>5127</v>
      </c>
      <c r="AH141" s="18" t="s">
        <v>5127</v>
      </c>
      <c r="AI141" s="18">
        <v>1</v>
      </c>
      <c r="AK141" s="18" t="s">
        <v>5164</v>
      </c>
      <c r="AN141" s="18">
        <v>417925</v>
      </c>
      <c r="AO141" s="18" t="s">
        <v>5165</v>
      </c>
      <c r="AP141" s="18" t="s">
        <v>5758</v>
      </c>
      <c r="AQ141" s="18" t="s">
        <v>5311</v>
      </c>
      <c r="AR141" s="18" t="s">
        <v>5727</v>
      </c>
      <c r="AT141" s="17">
        <f>(365*D141*0.7)/1000</f>
        <v>467366.98749999999</v>
      </c>
      <c r="AU141" s="17">
        <f t="shared" si="5"/>
        <v>125.377</v>
      </c>
      <c r="AV141" s="18">
        <f>28857/1000</f>
        <v>28.856999999999999</v>
      </c>
      <c r="AW141" s="18">
        <f>96520/1000</f>
        <v>96.52</v>
      </c>
      <c r="AY141" s="18" t="s">
        <v>5728</v>
      </c>
      <c r="BG141" s="18" t="s">
        <v>5663</v>
      </c>
      <c r="BQ141" s="18">
        <f>144301/1000</f>
        <v>144.30099999999999</v>
      </c>
      <c r="BR141" s="18">
        <f>75018/1000</f>
        <v>75.018000000000001</v>
      </c>
      <c r="BS141" s="18">
        <f>18181/1000</f>
        <v>18.181000000000001</v>
      </c>
      <c r="BT141" s="18">
        <f>55047/1000</f>
        <v>55.046999999999997</v>
      </c>
      <c r="BU141" s="18">
        <v>0</v>
      </c>
      <c r="BV141" s="18">
        <f t="shared" si="4"/>
        <v>292.54700000000003</v>
      </c>
      <c r="BW141" s="15">
        <f t="shared" si="6"/>
        <v>292.54700000000003</v>
      </c>
      <c r="BY141" s="18" t="s">
        <v>5134</v>
      </c>
      <c r="BZ141" s="18" t="s">
        <v>5688</v>
      </c>
      <c r="CD141" s="18" t="s">
        <v>5127</v>
      </c>
      <c r="CE141" s="18" t="s">
        <v>5127</v>
      </c>
      <c r="CF141" s="18" t="s">
        <v>5135</v>
      </c>
      <c r="CG141" s="18" t="s">
        <v>5550</v>
      </c>
      <c r="CH141" s="18" t="s">
        <v>5556</v>
      </c>
      <c r="CI141" s="18" t="s">
        <v>5195</v>
      </c>
      <c r="CJ141" s="18" t="s">
        <v>5196</v>
      </c>
      <c r="CK141" s="18" t="s">
        <v>5341</v>
      </c>
      <c r="CL141" s="18">
        <v>0</v>
      </c>
      <c r="CM141" s="18">
        <v>1</v>
      </c>
      <c r="CN141" s="18">
        <v>0</v>
      </c>
      <c r="CO141" s="18">
        <v>1</v>
      </c>
      <c r="CP141" s="18">
        <v>1</v>
      </c>
      <c r="CQ141" s="18">
        <v>1</v>
      </c>
      <c r="CR141" s="18" t="s">
        <v>5141</v>
      </c>
      <c r="CS141" s="18" t="s">
        <v>5141</v>
      </c>
      <c r="CT141" s="18">
        <v>0</v>
      </c>
      <c r="CU141" s="18">
        <v>1</v>
      </c>
      <c r="CV141" s="18">
        <v>1</v>
      </c>
      <c r="CX141" s="18">
        <v>1</v>
      </c>
      <c r="CY141" s="18">
        <v>1</v>
      </c>
      <c r="CZ141" s="18">
        <v>1</v>
      </c>
      <c r="DA141" s="18">
        <v>0</v>
      </c>
      <c r="DB141" s="18">
        <v>1</v>
      </c>
      <c r="DC141" s="18">
        <v>1</v>
      </c>
      <c r="DD141" s="18">
        <v>1</v>
      </c>
      <c r="DE141" s="18" t="s">
        <v>5141</v>
      </c>
      <c r="DF141" s="18" t="s">
        <v>5141</v>
      </c>
      <c r="DG141" s="18">
        <v>0</v>
      </c>
      <c r="DH141" s="18">
        <v>2</v>
      </c>
      <c r="DI141" s="18">
        <v>2</v>
      </c>
      <c r="DK141" s="18">
        <v>0</v>
      </c>
      <c r="DL141" s="18">
        <v>0</v>
      </c>
      <c r="DM141" s="18" t="s">
        <v>5127</v>
      </c>
      <c r="DN141" s="18" t="s">
        <v>5172</v>
      </c>
      <c r="DO141" s="18" t="s">
        <v>5665</v>
      </c>
      <c r="DP141" s="18" t="s">
        <v>106</v>
      </c>
      <c r="DQ141" s="18" t="s">
        <v>5221</v>
      </c>
      <c r="DS141" s="18">
        <v>0</v>
      </c>
      <c r="DT141" s="18">
        <v>1</v>
      </c>
      <c r="DU141" s="18">
        <v>1</v>
      </c>
      <c r="DV141" s="18" t="s">
        <v>5342</v>
      </c>
      <c r="DX141" s="18" t="s">
        <v>5222</v>
      </c>
      <c r="DY141" s="18" t="s">
        <v>106</v>
      </c>
      <c r="DZ141" s="18" t="s">
        <v>106</v>
      </c>
      <c r="EA141" s="18" t="s">
        <v>5243</v>
      </c>
      <c r="EB141" s="18">
        <v>292547</v>
      </c>
      <c r="EC141" s="18" t="s">
        <v>106</v>
      </c>
      <c r="ED141" s="18" t="s">
        <v>5176</v>
      </c>
      <c r="EE141" s="18" t="s">
        <v>106</v>
      </c>
      <c r="EF141" s="18" t="s">
        <v>106</v>
      </c>
      <c r="EG141" s="18" t="s">
        <v>5148</v>
      </c>
      <c r="EH141" s="18" t="s">
        <v>5203</v>
      </c>
      <c r="EI141" s="18" t="s">
        <v>5204</v>
      </c>
      <c r="EJ141" s="18" t="s">
        <v>5245</v>
      </c>
      <c r="EN141" s="18" t="s">
        <v>106</v>
      </c>
      <c r="EO141" s="18" t="s">
        <v>113</v>
      </c>
      <c r="EP141" s="18" t="s">
        <v>113</v>
      </c>
      <c r="EQ141" s="18" t="s">
        <v>113</v>
      </c>
      <c r="ER141" s="18" t="s">
        <v>5289</v>
      </c>
      <c r="ES141" s="18" t="s">
        <v>5736</v>
      </c>
      <c r="ET141" s="18" t="s">
        <v>5154</v>
      </c>
      <c r="EU141" s="18" t="s">
        <v>5318</v>
      </c>
      <c r="EV141" s="18" t="s">
        <v>5730</v>
      </c>
      <c r="EW141" s="18" t="s">
        <v>5247</v>
      </c>
      <c r="EX141" s="18" t="s">
        <v>5158</v>
      </c>
      <c r="EY141" s="18" t="s">
        <v>5181</v>
      </c>
      <c r="EZ141" s="18" t="s">
        <v>5182</v>
      </c>
      <c r="FA141" s="18" t="s">
        <v>144</v>
      </c>
      <c r="FB141" s="18" t="s">
        <v>5161</v>
      </c>
    </row>
    <row r="142" spans="1:158" ht="10.5" customHeight="1" x14ac:dyDescent="0.2">
      <c r="A142" s="16">
        <v>41</v>
      </c>
      <c r="B142" s="16" t="s">
        <v>1476</v>
      </c>
      <c r="C142" s="16" t="s">
        <v>108</v>
      </c>
      <c r="D142" s="16">
        <v>1829225</v>
      </c>
      <c r="E142" s="16" t="s">
        <v>6660</v>
      </c>
      <c r="F142" s="18" t="s">
        <v>108</v>
      </c>
      <c r="G142" s="18" t="s">
        <v>106</v>
      </c>
      <c r="H142" s="15" t="s">
        <v>5127</v>
      </c>
      <c r="I142" s="18">
        <v>16</v>
      </c>
      <c r="J142" s="18">
        <v>8</v>
      </c>
      <c r="K142" s="18">
        <v>8</v>
      </c>
      <c r="M142" s="18" t="s">
        <v>5183</v>
      </c>
      <c r="N142" s="18">
        <v>24003670</v>
      </c>
      <c r="O142" s="18">
        <v>46320</v>
      </c>
      <c r="T142" s="18" t="s">
        <v>5532</v>
      </c>
      <c r="U142" s="18" t="s">
        <v>5185</v>
      </c>
      <c r="V142" s="18" t="s">
        <v>106</v>
      </c>
      <c r="W142" s="18" t="s">
        <v>5124</v>
      </c>
      <c r="Y142" s="18" t="s">
        <v>5232</v>
      </c>
      <c r="Z142" s="18" t="s">
        <v>106</v>
      </c>
      <c r="AA142" s="18" t="s">
        <v>5163</v>
      </c>
      <c r="AB142" s="18" t="s">
        <v>5233</v>
      </c>
      <c r="AC142" s="18" t="s">
        <v>5127</v>
      </c>
      <c r="AD142" s="18" t="s">
        <v>5127</v>
      </c>
      <c r="AE142" s="18" t="s">
        <v>5127</v>
      </c>
      <c r="AF142" s="18" t="s">
        <v>5127</v>
      </c>
      <c r="AG142" s="18" t="s">
        <v>5127</v>
      </c>
      <c r="AH142" s="18" t="s">
        <v>5127</v>
      </c>
      <c r="AI142" s="18">
        <v>1</v>
      </c>
      <c r="AK142" s="18" t="s">
        <v>5164</v>
      </c>
      <c r="AN142" s="18">
        <v>592963</v>
      </c>
      <c r="AO142" s="18" t="s">
        <v>5165</v>
      </c>
      <c r="AP142" s="18" t="s">
        <v>5758</v>
      </c>
      <c r="AQ142" s="18" t="s">
        <v>5311</v>
      </c>
      <c r="AR142" s="18" t="s">
        <v>5727</v>
      </c>
      <c r="AT142" s="17">
        <f>(365*D142*0.7)/1000</f>
        <v>467366.98749999999</v>
      </c>
      <c r="AU142" s="17">
        <f t="shared" si="5"/>
        <v>177.88900000000001</v>
      </c>
      <c r="AV142" s="18">
        <f>62252/1000</f>
        <v>62.252000000000002</v>
      </c>
      <c r="AW142" s="18">
        <f>115637/1000</f>
        <v>115.637</v>
      </c>
      <c r="AY142" s="18" t="s">
        <v>5728</v>
      </c>
      <c r="BG142" s="18" t="s">
        <v>5663</v>
      </c>
      <c r="BQ142" s="18">
        <f>171535/1000</f>
        <v>171.535</v>
      </c>
      <c r="BR142" s="18">
        <f>95626/1000</f>
        <v>95.626000000000005</v>
      </c>
      <c r="BS142" s="18">
        <f>19276/1000</f>
        <v>19.276</v>
      </c>
      <c r="BT142" s="18">
        <f>128637/1000</f>
        <v>128.637</v>
      </c>
      <c r="BU142" s="18">
        <v>0</v>
      </c>
      <c r="BV142" s="18">
        <f t="shared" si="4"/>
        <v>415.07400000000001</v>
      </c>
      <c r="BW142" s="15">
        <f t="shared" si="6"/>
        <v>415.07400000000001</v>
      </c>
      <c r="BY142" s="18" t="s">
        <v>5134</v>
      </c>
      <c r="BZ142" s="18" t="s">
        <v>5688</v>
      </c>
      <c r="CD142" s="18" t="s">
        <v>5127</v>
      </c>
      <c r="CE142" s="18" t="s">
        <v>5127</v>
      </c>
      <c r="CF142" s="18" t="s">
        <v>5135</v>
      </c>
      <c r="CG142" s="18" t="s">
        <v>5550</v>
      </c>
      <c r="CH142" s="18" t="s">
        <v>5556</v>
      </c>
      <c r="CI142" s="18" t="s">
        <v>5195</v>
      </c>
      <c r="CJ142" s="18" t="s">
        <v>5196</v>
      </c>
      <c r="CK142" s="18" t="s">
        <v>5341</v>
      </c>
      <c r="CL142" s="18">
        <v>1</v>
      </c>
      <c r="CM142" s="18">
        <v>0</v>
      </c>
      <c r="CN142" s="18">
        <v>0</v>
      </c>
      <c r="CO142" s="18">
        <v>1</v>
      </c>
      <c r="CP142" s="18">
        <v>1</v>
      </c>
      <c r="CQ142" s="18">
        <v>1</v>
      </c>
      <c r="CR142" s="18" t="s">
        <v>5141</v>
      </c>
      <c r="CS142" s="18" t="s">
        <v>5141</v>
      </c>
      <c r="CT142" s="18">
        <v>1</v>
      </c>
      <c r="CU142" s="18">
        <v>1</v>
      </c>
      <c r="CV142" s="18">
        <v>0</v>
      </c>
      <c r="CX142" s="18">
        <v>1</v>
      </c>
      <c r="CY142" s="18">
        <v>1</v>
      </c>
      <c r="CZ142" s="18">
        <v>0</v>
      </c>
      <c r="DA142" s="18">
        <v>0</v>
      </c>
      <c r="DB142" s="18">
        <v>1</v>
      </c>
      <c r="DC142" s="18">
        <v>1</v>
      </c>
      <c r="DD142" s="18">
        <v>1</v>
      </c>
      <c r="DE142" s="18" t="s">
        <v>5141</v>
      </c>
      <c r="DF142" s="18" t="s">
        <v>5141</v>
      </c>
      <c r="DG142" s="18">
        <v>0</v>
      </c>
      <c r="DH142" s="18">
        <v>1</v>
      </c>
      <c r="DI142" s="18">
        <v>1</v>
      </c>
      <c r="DK142" s="18">
        <v>0</v>
      </c>
      <c r="DL142" s="18">
        <v>0</v>
      </c>
      <c r="DM142" s="18" t="s">
        <v>5127</v>
      </c>
      <c r="DN142" s="18" t="s">
        <v>5314</v>
      </c>
      <c r="DO142" s="18" t="s">
        <v>5371</v>
      </c>
      <c r="DP142" s="18" t="s">
        <v>113</v>
      </c>
      <c r="DS142" s="18">
        <v>0</v>
      </c>
      <c r="DT142" s="18">
        <v>1</v>
      </c>
      <c r="DU142" s="18">
        <v>1</v>
      </c>
      <c r="DV142" s="18" t="s">
        <v>5301</v>
      </c>
      <c r="DX142" s="18" t="s">
        <v>5222</v>
      </c>
      <c r="DY142" s="18" t="s">
        <v>106</v>
      </c>
      <c r="DZ142" s="18" t="s">
        <v>106</v>
      </c>
      <c r="EA142" s="18" t="s">
        <v>5243</v>
      </c>
      <c r="EB142" s="18">
        <v>415074</v>
      </c>
      <c r="EC142" s="18" t="s">
        <v>106</v>
      </c>
      <c r="ED142" s="18" t="s">
        <v>5176</v>
      </c>
      <c r="EE142" s="18" t="s">
        <v>106</v>
      </c>
      <c r="EF142" s="18" t="s">
        <v>106</v>
      </c>
      <c r="EH142" s="18" t="s">
        <v>5203</v>
      </c>
      <c r="EI142" s="18" t="s">
        <v>5204</v>
      </c>
      <c r="EJ142" s="18" t="s">
        <v>5245</v>
      </c>
      <c r="EN142" s="18" t="s">
        <v>113</v>
      </c>
      <c r="EO142" s="18" t="s">
        <v>113</v>
      </c>
      <c r="EP142" s="18" t="s">
        <v>113</v>
      </c>
      <c r="EQ142" s="18" t="s">
        <v>113</v>
      </c>
      <c r="ER142" s="18" t="s">
        <v>5289</v>
      </c>
      <c r="ES142" s="18" t="s">
        <v>5744</v>
      </c>
      <c r="ET142" s="18" t="s">
        <v>5154</v>
      </c>
      <c r="EU142" s="18" t="s">
        <v>5155</v>
      </c>
      <c r="EV142" s="18" t="s">
        <v>5730</v>
      </c>
      <c r="EW142" s="18" t="s">
        <v>5247</v>
      </c>
      <c r="EX142" s="18" t="s">
        <v>5158</v>
      </c>
      <c r="EY142" s="18" t="s">
        <v>5181</v>
      </c>
      <c r="EZ142" s="18" t="s">
        <v>5182</v>
      </c>
      <c r="FA142" s="18" t="s">
        <v>144</v>
      </c>
      <c r="FB142" s="18" t="s">
        <v>5161</v>
      </c>
    </row>
    <row r="143" spans="1:158" ht="10.5" customHeight="1" x14ac:dyDescent="0.2">
      <c r="A143" s="16">
        <v>41</v>
      </c>
      <c r="B143" s="16" t="s">
        <v>1476</v>
      </c>
      <c r="C143" s="16" t="s">
        <v>108</v>
      </c>
      <c r="D143" s="16">
        <v>1829225</v>
      </c>
      <c r="E143" s="16" t="s">
        <v>6660</v>
      </c>
      <c r="F143" s="18" t="s">
        <v>108</v>
      </c>
      <c r="G143" s="18" t="s">
        <v>106</v>
      </c>
      <c r="H143" s="15" t="s">
        <v>5127</v>
      </c>
      <c r="I143" s="18">
        <v>16</v>
      </c>
      <c r="J143" s="18">
        <v>11</v>
      </c>
      <c r="K143" s="18">
        <v>5</v>
      </c>
      <c r="M143" s="18" t="s">
        <v>5183</v>
      </c>
      <c r="N143" s="18">
        <v>23003945</v>
      </c>
      <c r="O143" s="18">
        <v>45935</v>
      </c>
      <c r="T143" s="18" t="s">
        <v>111</v>
      </c>
      <c r="U143" s="18" t="s">
        <v>5185</v>
      </c>
      <c r="V143" s="18" t="s">
        <v>106</v>
      </c>
      <c r="W143" s="18" t="s">
        <v>5124</v>
      </c>
      <c r="Y143" s="18" t="s">
        <v>5232</v>
      </c>
      <c r="Z143" s="18" t="s">
        <v>106</v>
      </c>
      <c r="AA143" s="18" t="s">
        <v>5267</v>
      </c>
      <c r="AC143" s="18" t="s">
        <v>5127</v>
      </c>
      <c r="AD143" s="18" t="s">
        <v>5127</v>
      </c>
      <c r="AE143" s="18" t="s">
        <v>5127</v>
      </c>
      <c r="AF143" s="18" t="s">
        <v>111</v>
      </c>
      <c r="AG143" s="18" t="s">
        <v>5127</v>
      </c>
      <c r="AH143" s="18" t="s">
        <v>111</v>
      </c>
      <c r="AI143" s="18">
        <v>0</v>
      </c>
      <c r="AK143" s="18" t="s">
        <v>5164</v>
      </c>
      <c r="AN143" s="18">
        <v>440607</v>
      </c>
      <c r="AO143" s="18" t="s">
        <v>5129</v>
      </c>
      <c r="AP143" s="18" t="s">
        <v>5758</v>
      </c>
      <c r="AQ143" s="18" t="s">
        <v>5311</v>
      </c>
      <c r="AR143" s="18" t="s">
        <v>5727</v>
      </c>
      <c r="AT143" s="17">
        <f>(365*D143*0.7)/1000</f>
        <v>467366.98749999999</v>
      </c>
      <c r="AU143" s="17">
        <f t="shared" si="5"/>
        <v>132.18199999999999</v>
      </c>
      <c r="AV143" s="18">
        <f>33552/1000</f>
        <v>33.552</v>
      </c>
      <c r="AW143" s="18">
        <f>98630/1000</f>
        <v>98.63</v>
      </c>
      <c r="AY143" s="18" t="s">
        <v>5728</v>
      </c>
      <c r="BG143" s="18" t="s">
        <v>5663</v>
      </c>
      <c r="BQ143" s="18">
        <f>173867/1000</f>
        <v>173.86699999999999</v>
      </c>
      <c r="BR143" s="18">
        <f>65982/1000</f>
        <v>65.981999999999999</v>
      </c>
      <c r="BS143" s="18">
        <f>12996/1000</f>
        <v>12.996</v>
      </c>
      <c r="BT143" s="18">
        <f>55580/1000</f>
        <v>55.58</v>
      </c>
      <c r="BU143" s="18">
        <v>0</v>
      </c>
      <c r="BV143" s="18">
        <f t="shared" si="4"/>
        <v>308.42500000000001</v>
      </c>
      <c r="BW143" s="15">
        <f t="shared" si="6"/>
        <v>308.42500000000001</v>
      </c>
      <c r="BY143" s="18" t="s">
        <v>5134</v>
      </c>
      <c r="BZ143" s="18" t="s">
        <v>5688</v>
      </c>
      <c r="CD143" s="18" t="s">
        <v>5127</v>
      </c>
      <c r="CE143" s="18" t="s">
        <v>5127</v>
      </c>
      <c r="CF143" s="18" t="s">
        <v>5135</v>
      </c>
      <c r="CG143" s="18" t="s">
        <v>5550</v>
      </c>
      <c r="CH143" s="18" t="s">
        <v>5556</v>
      </c>
      <c r="CI143" s="18" t="s">
        <v>5195</v>
      </c>
      <c r="CJ143" s="18" t="s">
        <v>5196</v>
      </c>
      <c r="CK143" s="18" t="s">
        <v>5341</v>
      </c>
      <c r="CL143" s="18">
        <v>1</v>
      </c>
      <c r="CM143" s="18">
        <v>0</v>
      </c>
      <c r="CN143" s="18">
        <v>0</v>
      </c>
      <c r="CO143" s="18">
        <v>1</v>
      </c>
      <c r="CP143" s="18">
        <v>1</v>
      </c>
      <c r="CQ143" s="18">
        <v>0</v>
      </c>
      <c r="CR143" s="18" t="s">
        <v>5141</v>
      </c>
      <c r="CS143" s="18" t="s">
        <v>5141</v>
      </c>
      <c r="CT143" s="18">
        <v>1</v>
      </c>
      <c r="CU143" s="18">
        <v>1</v>
      </c>
      <c r="CV143" s="18">
        <v>1</v>
      </c>
      <c r="CX143" s="18">
        <v>0</v>
      </c>
      <c r="CY143" s="18">
        <v>1</v>
      </c>
      <c r="CZ143" s="18">
        <v>0</v>
      </c>
      <c r="DA143" s="18">
        <v>0</v>
      </c>
      <c r="DB143" s="18">
        <v>1</v>
      </c>
      <c r="DC143" s="18">
        <v>1</v>
      </c>
      <c r="DD143" s="18">
        <v>1</v>
      </c>
      <c r="DE143" s="18" t="s">
        <v>5141</v>
      </c>
      <c r="DF143" s="18" t="s">
        <v>5141</v>
      </c>
      <c r="DG143" s="18">
        <v>0</v>
      </c>
      <c r="DH143" s="18">
        <v>1</v>
      </c>
      <c r="DI143" s="18">
        <v>2</v>
      </c>
      <c r="DK143" s="18">
        <v>0</v>
      </c>
      <c r="DL143" s="18">
        <v>0</v>
      </c>
      <c r="DM143" s="18" t="s">
        <v>5127</v>
      </c>
      <c r="DN143" s="18" t="s">
        <v>5314</v>
      </c>
      <c r="DO143" s="18" t="s">
        <v>5371</v>
      </c>
      <c r="DP143" s="18" t="s">
        <v>113</v>
      </c>
      <c r="DS143" s="18">
        <v>0</v>
      </c>
      <c r="DT143" s="18">
        <v>1</v>
      </c>
      <c r="DU143" s="18">
        <v>1</v>
      </c>
      <c r="DV143" s="18" t="s">
        <v>5342</v>
      </c>
      <c r="DX143" s="18" t="s">
        <v>5222</v>
      </c>
      <c r="DY143" s="18" t="s">
        <v>106</v>
      </c>
      <c r="DZ143" s="18" t="s">
        <v>106</v>
      </c>
      <c r="EA143" s="18" t="s">
        <v>5243</v>
      </c>
      <c r="EB143" s="18">
        <v>308425</v>
      </c>
      <c r="EC143" s="18" t="s">
        <v>106</v>
      </c>
      <c r="ED143" s="18" t="s">
        <v>5176</v>
      </c>
      <c r="EE143" s="18" t="s">
        <v>106</v>
      </c>
      <c r="EF143" s="18" t="s">
        <v>106</v>
      </c>
      <c r="EH143" s="18" t="s">
        <v>5203</v>
      </c>
      <c r="EI143" s="18" t="s">
        <v>5204</v>
      </c>
      <c r="EJ143" s="18" t="s">
        <v>5245</v>
      </c>
      <c r="EN143" s="18" t="s">
        <v>113</v>
      </c>
      <c r="EO143" s="18" t="s">
        <v>113</v>
      </c>
      <c r="EP143" s="18" t="s">
        <v>113</v>
      </c>
      <c r="EQ143" s="18" t="s">
        <v>113</v>
      </c>
      <c r="ER143" s="18" t="s">
        <v>5289</v>
      </c>
      <c r="ES143" s="18" t="s">
        <v>5737</v>
      </c>
      <c r="ET143" s="18" t="s">
        <v>5154</v>
      </c>
      <c r="EU143" s="18" t="s">
        <v>5155</v>
      </c>
      <c r="EV143" s="18" t="s">
        <v>5730</v>
      </c>
      <c r="EW143" s="18" t="s">
        <v>5247</v>
      </c>
      <c r="EX143" s="18" t="s">
        <v>5158</v>
      </c>
      <c r="EY143" s="18" t="s">
        <v>5181</v>
      </c>
      <c r="EZ143" s="18" t="s">
        <v>5182</v>
      </c>
      <c r="FA143" s="18" t="s">
        <v>144</v>
      </c>
      <c r="FB143" s="18" t="s">
        <v>5161</v>
      </c>
    </row>
    <row r="144" spans="1:158" ht="10.5" customHeight="1" x14ac:dyDescent="0.2">
      <c r="A144" s="16">
        <v>41</v>
      </c>
      <c r="B144" s="16" t="s">
        <v>1476</v>
      </c>
      <c r="C144" s="16" t="s">
        <v>108</v>
      </c>
      <c r="D144" s="16">
        <v>1829225</v>
      </c>
      <c r="E144" s="16" t="s">
        <v>6660</v>
      </c>
      <c r="F144" s="18" t="s">
        <v>108</v>
      </c>
      <c r="G144" s="18" t="s">
        <v>106</v>
      </c>
      <c r="H144" s="15" t="s">
        <v>5127</v>
      </c>
      <c r="I144" s="18">
        <v>16</v>
      </c>
      <c r="J144" s="18">
        <v>8</v>
      </c>
      <c r="K144" s="18">
        <v>8</v>
      </c>
      <c r="L144" s="18">
        <v>0</v>
      </c>
      <c r="M144" s="18" t="s">
        <v>5183</v>
      </c>
      <c r="N144" s="18">
        <v>24000553</v>
      </c>
      <c r="O144" s="18">
        <v>46081</v>
      </c>
      <c r="T144" s="18" t="s">
        <v>5726</v>
      </c>
      <c r="U144" s="18" t="s">
        <v>5185</v>
      </c>
      <c r="V144" s="18" t="s">
        <v>106</v>
      </c>
      <c r="W144" s="18" t="s">
        <v>5124</v>
      </c>
      <c r="Y144" s="18" t="s">
        <v>5232</v>
      </c>
      <c r="Z144" s="18" t="s">
        <v>106</v>
      </c>
      <c r="AA144" s="18" t="s">
        <v>5267</v>
      </c>
      <c r="AC144" s="18" t="s">
        <v>5127</v>
      </c>
      <c r="AD144" s="18" t="s">
        <v>5127</v>
      </c>
      <c r="AE144" s="18" t="s">
        <v>5127</v>
      </c>
      <c r="AF144" s="18" t="s">
        <v>5127</v>
      </c>
      <c r="AG144" s="18" t="s">
        <v>5127</v>
      </c>
      <c r="AH144" s="18" t="s">
        <v>5127</v>
      </c>
      <c r="AI144" s="18">
        <v>1</v>
      </c>
      <c r="AK144" s="18" t="s">
        <v>5164</v>
      </c>
      <c r="AN144" s="18">
        <v>559474</v>
      </c>
      <c r="AO144" s="18" t="s">
        <v>5165</v>
      </c>
      <c r="AP144" s="18" t="s">
        <v>5759</v>
      </c>
      <c r="AQ144" s="18" t="s">
        <v>5311</v>
      </c>
      <c r="AR144" s="18" t="s">
        <v>5727</v>
      </c>
      <c r="AT144" s="17">
        <f>(365*D144*0.7)/1000</f>
        <v>467366.98749999999</v>
      </c>
      <c r="AU144" s="17">
        <f t="shared" si="5"/>
        <v>167.84199999999998</v>
      </c>
      <c r="AV144" s="18">
        <f>40879/1000</f>
        <v>40.878999999999998</v>
      </c>
      <c r="AW144" s="18">
        <f>126963/1000</f>
        <v>126.96299999999999</v>
      </c>
      <c r="AY144" s="18" t="s">
        <v>5728</v>
      </c>
      <c r="BG144" s="18" t="s">
        <v>5663</v>
      </c>
      <c r="BQ144" s="18">
        <f>146000/1000</f>
        <v>146</v>
      </c>
      <c r="BR144" s="18">
        <f>80692/1000</f>
        <v>80.691999999999993</v>
      </c>
      <c r="BS144" s="18">
        <f>30320/1000</f>
        <v>30.32</v>
      </c>
      <c r="BT144" s="18">
        <f>134620/1000</f>
        <v>134.62</v>
      </c>
      <c r="BU144" s="18">
        <v>0</v>
      </c>
      <c r="BV144" s="18">
        <f t="shared" si="4"/>
        <v>391.63200000000001</v>
      </c>
      <c r="BW144" s="15">
        <f t="shared" si="6"/>
        <v>391.63200000000001</v>
      </c>
      <c r="BY144" s="18" t="s">
        <v>5134</v>
      </c>
      <c r="BZ144" s="18" t="s">
        <v>5688</v>
      </c>
      <c r="CD144" s="18" t="s">
        <v>5127</v>
      </c>
      <c r="CE144" s="18" t="s">
        <v>5127</v>
      </c>
      <c r="CF144" s="18" t="s">
        <v>5135</v>
      </c>
      <c r="CG144" s="18" t="s">
        <v>5193</v>
      </c>
      <c r="CH144" s="18" t="s">
        <v>5556</v>
      </c>
      <c r="CI144" s="18" t="s">
        <v>5195</v>
      </c>
      <c r="CJ144" s="18" t="s">
        <v>5196</v>
      </c>
      <c r="CK144" s="18" t="s">
        <v>5341</v>
      </c>
      <c r="CL144" s="18">
        <v>1</v>
      </c>
      <c r="CM144" s="18">
        <v>0</v>
      </c>
      <c r="CN144" s="18">
        <v>0</v>
      </c>
      <c r="CO144" s="18">
        <v>1</v>
      </c>
      <c r="CP144" s="18">
        <v>1</v>
      </c>
      <c r="CQ144" s="18">
        <v>1</v>
      </c>
      <c r="CR144" s="18" t="s">
        <v>5141</v>
      </c>
      <c r="CS144" s="18" t="s">
        <v>5141</v>
      </c>
      <c r="CT144" s="18">
        <v>0</v>
      </c>
      <c r="CU144" s="18">
        <v>1</v>
      </c>
      <c r="CV144" s="18">
        <v>2</v>
      </c>
      <c r="CX144" s="18">
        <v>1</v>
      </c>
      <c r="CY144" s="18">
        <v>0</v>
      </c>
      <c r="CZ144" s="18">
        <v>0</v>
      </c>
      <c r="DA144" s="18">
        <v>1</v>
      </c>
      <c r="DB144" s="18">
        <v>1</v>
      </c>
      <c r="DC144" s="18">
        <v>1</v>
      </c>
      <c r="DD144" s="18">
        <v>1</v>
      </c>
      <c r="DE144" s="18" t="s">
        <v>5141</v>
      </c>
      <c r="DF144" s="18" t="s">
        <v>5141</v>
      </c>
      <c r="DG144" s="18">
        <v>1</v>
      </c>
      <c r="DH144" s="18">
        <v>1</v>
      </c>
      <c r="DI144" s="18">
        <v>2</v>
      </c>
      <c r="DK144" s="18">
        <v>0</v>
      </c>
      <c r="DL144" s="18">
        <v>0</v>
      </c>
      <c r="DM144" s="18" t="s">
        <v>5127</v>
      </c>
      <c r="DN144" s="18" t="s">
        <v>5172</v>
      </c>
      <c r="DO144" s="18" t="s">
        <v>5371</v>
      </c>
      <c r="DP144" s="18" t="s">
        <v>113</v>
      </c>
      <c r="DS144" s="18">
        <v>0</v>
      </c>
      <c r="DT144" s="18">
        <v>1</v>
      </c>
      <c r="DU144" s="18">
        <v>1</v>
      </c>
      <c r="DV144" s="18" t="s">
        <v>5301</v>
      </c>
      <c r="DX144" s="18" t="s">
        <v>5222</v>
      </c>
      <c r="DY144" s="18" t="s">
        <v>106</v>
      </c>
      <c r="DZ144" s="18" t="s">
        <v>106</v>
      </c>
      <c r="EA144" s="18" t="s">
        <v>5243</v>
      </c>
      <c r="EB144" s="18">
        <v>391632</v>
      </c>
      <c r="EC144" s="18" t="s">
        <v>106</v>
      </c>
      <c r="ED144" s="18" t="s">
        <v>5176</v>
      </c>
      <c r="EE144" s="18" t="s">
        <v>106</v>
      </c>
      <c r="EF144" s="18" t="s">
        <v>106</v>
      </c>
      <c r="EH144" s="18" t="s">
        <v>5203</v>
      </c>
      <c r="EI144" s="18" t="s">
        <v>5204</v>
      </c>
      <c r="EJ144" s="18" t="s">
        <v>5245</v>
      </c>
      <c r="EN144" s="18" t="s">
        <v>113</v>
      </c>
      <c r="EO144" s="18" t="s">
        <v>113</v>
      </c>
      <c r="EP144" s="18" t="s">
        <v>113</v>
      </c>
      <c r="EQ144" s="18" t="s">
        <v>113</v>
      </c>
      <c r="ER144" s="18" t="s">
        <v>5328</v>
      </c>
      <c r="ES144" s="18" t="s">
        <v>5405</v>
      </c>
      <c r="ET144" s="18" t="s">
        <v>5154</v>
      </c>
      <c r="EU144" s="18" t="s">
        <v>5318</v>
      </c>
      <c r="EV144" s="18" t="s">
        <v>5730</v>
      </c>
      <c r="EW144" s="18" t="s">
        <v>5247</v>
      </c>
      <c r="EX144" s="18" t="s">
        <v>5158</v>
      </c>
      <c r="EY144" s="18" t="s">
        <v>5181</v>
      </c>
      <c r="EZ144" s="18" t="s">
        <v>5182</v>
      </c>
      <c r="FA144" s="18" t="s">
        <v>144</v>
      </c>
      <c r="FB144" s="18" t="s">
        <v>5161</v>
      </c>
    </row>
    <row r="145" spans="1:158" ht="10.5" customHeight="1" x14ac:dyDescent="0.2">
      <c r="A145" s="16">
        <v>41</v>
      </c>
      <c r="B145" s="16" t="s">
        <v>1476</v>
      </c>
      <c r="C145" s="16" t="s">
        <v>108</v>
      </c>
      <c r="D145" s="16">
        <v>1829225</v>
      </c>
      <c r="E145" s="16" t="s">
        <v>6660</v>
      </c>
      <c r="F145" s="18" t="s">
        <v>108</v>
      </c>
      <c r="G145" s="18" t="s">
        <v>106</v>
      </c>
      <c r="H145" s="15" t="s">
        <v>5127</v>
      </c>
      <c r="I145" s="18">
        <v>11</v>
      </c>
      <c r="J145" s="18">
        <v>5</v>
      </c>
      <c r="K145" s="18">
        <v>6</v>
      </c>
      <c r="M145" s="18" t="s">
        <v>5183</v>
      </c>
      <c r="N145" s="18">
        <v>24000168</v>
      </c>
      <c r="O145" s="18">
        <v>46060</v>
      </c>
      <c r="T145" s="18" t="s">
        <v>5760</v>
      </c>
      <c r="U145" s="18" t="s">
        <v>5185</v>
      </c>
      <c r="V145" s="18" t="s">
        <v>106</v>
      </c>
      <c r="W145" s="18" t="s">
        <v>5124</v>
      </c>
      <c r="Y145" s="18" t="s">
        <v>5232</v>
      </c>
      <c r="Z145" s="18" t="s">
        <v>106</v>
      </c>
      <c r="AA145" s="18" t="s">
        <v>5267</v>
      </c>
      <c r="AC145" s="18" t="s">
        <v>5127</v>
      </c>
      <c r="AD145" s="18" t="s">
        <v>5127</v>
      </c>
      <c r="AE145" s="18" t="s">
        <v>5127</v>
      </c>
      <c r="AF145" s="18" t="s">
        <v>5127</v>
      </c>
      <c r="AG145" s="18" t="s">
        <v>5127</v>
      </c>
      <c r="AH145" s="18" t="s">
        <v>5127</v>
      </c>
      <c r="AI145" s="18">
        <v>1</v>
      </c>
      <c r="AK145" s="18" t="s">
        <v>5164</v>
      </c>
      <c r="AN145" s="18" t="s">
        <v>5761</v>
      </c>
      <c r="AO145" s="18" t="s">
        <v>5165</v>
      </c>
      <c r="AP145" s="18" t="s">
        <v>5762</v>
      </c>
      <c r="AQ145" s="18" t="s">
        <v>5311</v>
      </c>
      <c r="AR145" s="18" t="s">
        <v>5727</v>
      </c>
      <c r="AT145" s="17">
        <f>(365*D145*0.7)/1000</f>
        <v>467366.98749999999</v>
      </c>
      <c r="AU145" s="17">
        <f t="shared" si="5"/>
        <v>157.90700000000001</v>
      </c>
      <c r="AV145" s="18">
        <f>54653/1000</f>
        <v>54.652999999999999</v>
      </c>
      <c r="AW145" s="18">
        <f>103254/1000</f>
        <v>103.254</v>
      </c>
      <c r="AY145" s="18" t="s">
        <v>5728</v>
      </c>
      <c r="BG145" s="18" t="s">
        <v>5663</v>
      </c>
      <c r="BQ145" s="18">
        <f>155930/1000</f>
        <v>155.93</v>
      </c>
      <c r="BR145" s="18">
        <f>63480/1000</f>
        <v>63.48</v>
      </c>
      <c r="BS145" s="18">
        <f>20210/1000</f>
        <v>20.21</v>
      </c>
      <c r="BT145" s="18">
        <f>128830/1000</f>
        <v>128.83000000000001</v>
      </c>
      <c r="BU145" s="18">
        <v>0</v>
      </c>
      <c r="BV145" s="18">
        <f t="shared" si="4"/>
        <v>368.45000000000005</v>
      </c>
      <c r="BW145" s="15">
        <f t="shared" si="6"/>
        <v>368.45000000000005</v>
      </c>
      <c r="BY145" s="18" t="s">
        <v>5134</v>
      </c>
      <c r="BZ145" s="18" t="s">
        <v>5688</v>
      </c>
      <c r="CD145" s="18" t="s">
        <v>5127</v>
      </c>
      <c r="CE145" s="18" t="s">
        <v>5127</v>
      </c>
      <c r="CF145" s="18" t="s">
        <v>5135</v>
      </c>
      <c r="CG145" s="18" t="s">
        <v>5193</v>
      </c>
      <c r="CH145" s="18" t="s">
        <v>5556</v>
      </c>
      <c r="CI145" s="18" t="s">
        <v>5195</v>
      </c>
      <c r="CJ145" s="18" t="s">
        <v>5196</v>
      </c>
      <c r="CK145" s="18" t="s">
        <v>5341</v>
      </c>
      <c r="CL145" s="18">
        <v>1</v>
      </c>
      <c r="CM145" s="18">
        <v>0</v>
      </c>
      <c r="CN145" s="18">
        <v>0</v>
      </c>
      <c r="CO145" s="18">
        <v>1</v>
      </c>
      <c r="CP145" s="18">
        <v>2</v>
      </c>
      <c r="CQ145" s="18">
        <v>1</v>
      </c>
      <c r="CR145" s="18" t="s">
        <v>5141</v>
      </c>
      <c r="CS145" s="18" t="s">
        <v>5141</v>
      </c>
      <c r="CT145" s="18">
        <v>0</v>
      </c>
      <c r="CU145" s="18">
        <v>1</v>
      </c>
      <c r="CV145" s="18">
        <v>1</v>
      </c>
      <c r="CX145" s="18">
        <v>1</v>
      </c>
      <c r="CY145" s="18">
        <v>1</v>
      </c>
      <c r="CZ145" s="18">
        <v>0</v>
      </c>
      <c r="DA145" s="18">
        <v>1</v>
      </c>
      <c r="DB145" s="18">
        <v>1</v>
      </c>
      <c r="DC145" s="18">
        <v>1</v>
      </c>
      <c r="DD145" s="18">
        <v>1</v>
      </c>
      <c r="DE145" s="18" t="s">
        <v>5141</v>
      </c>
      <c r="DF145" s="18" t="s">
        <v>5141</v>
      </c>
      <c r="DG145" s="18">
        <v>1</v>
      </c>
      <c r="DH145" s="18">
        <v>1</v>
      </c>
      <c r="DI145" s="18">
        <v>2</v>
      </c>
      <c r="DK145" s="18">
        <v>0</v>
      </c>
      <c r="DL145" s="18">
        <v>0</v>
      </c>
      <c r="DM145" s="18" t="s">
        <v>5127</v>
      </c>
      <c r="DN145" s="18" t="s">
        <v>5314</v>
      </c>
      <c r="DO145" s="18" t="s">
        <v>5371</v>
      </c>
      <c r="DP145" s="18" t="s">
        <v>113</v>
      </c>
      <c r="DS145" s="18">
        <v>0</v>
      </c>
      <c r="DT145" s="18">
        <v>1</v>
      </c>
      <c r="DU145" s="18">
        <v>1</v>
      </c>
      <c r="DV145" s="18" t="s">
        <v>5301</v>
      </c>
      <c r="DX145" s="18" t="s">
        <v>5222</v>
      </c>
      <c r="DY145" s="18" t="s">
        <v>106</v>
      </c>
      <c r="DZ145" s="18" t="s">
        <v>106</v>
      </c>
      <c r="EA145" s="18" t="s">
        <v>5586</v>
      </c>
      <c r="EB145" s="18">
        <v>368450</v>
      </c>
      <c r="EC145" s="18" t="s">
        <v>106</v>
      </c>
      <c r="ED145" s="18" t="s">
        <v>5176</v>
      </c>
      <c r="EE145" s="18" t="s">
        <v>106</v>
      </c>
      <c r="EF145" s="18" t="s">
        <v>106</v>
      </c>
      <c r="EH145" s="18" t="s">
        <v>5203</v>
      </c>
      <c r="EI145" s="18" t="s">
        <v>5204</v>
      </c>
      <c r="EJ145" s="18" t="s">
        <v>5245</v>
      </c>
      <c r="EN145" s="18" t="s">
        <v>113</v>
      </c>
      <c r="EO145" s="18" t="s">
        <v>113</v>
      </c>
      <c r="EP145" s="18" t="s">
        <v>113</v>
      </c>
      <c r="EQ145" s="18" t="s">
        <v>113</v>
      </c>
      <c r="ER145" s="18" t="s">
        <v>5328</v>
      </c>
      <c r="ES145" s="18" t="s">
        <v>5498</v>
      </c>
      <c r="ET145" s="18" t="s">
        <v>5154</v>
      </c>
      <c r="EU145" s="18" t="s">
        <v>5155</v>
      </c>
      <c r="EV145" s="18" t="s">
        <v>5730</v>
      </c>
      <c r="EW145" s="18" t="s">
        <v>5247</v>
      </c>
      <c r="EX145" s="18" t="s">
        <v>5158</v>
      </c>
      <c r="EY145" s="18" t="s">
        <v>5181</v>
      </c>
      <c r="EZ145" s="18" t="s">
        <v>5182</v>
      </c>
      <c r="FA145" s="18" t="s">
        <v>144</v>
      </c>
      <c r="FB145" s="18" t="s">
        <v>5161</v>
      </c>
    </row>
    <row r="146" spans="1:158" ht="10.5" customHeight="1" x14ac:dyDescent="0.2">
      <c r="A146" s="16">
        <v>41</v>
      </c>
      <c r="B146" s="16" t="s">
        <v>1476</v>
      </c>
      <c r="C146" s="16" t="s">
        <v>108</v>
      </c>
      <c r="D146" s="16">
        <v>1829225</v>
      </c>
      <c r="E146" s="16" t="s">
        <v>6660</v>
      </c>
      <c r="F146" s="18" t="s">
        <v>108</v>
      </c>
      <c r="G146" s="18" t="s">
        <v>106</v>
      </c>
      <c r="H146" s="15" t="s">
        <v>5127</v>
      </c>
      <c r="I146" s="18">
        <v>15</v>
      </c>
      <c r="J146" s="18">
        <v>6</v>
      </c>
      <c r="K146" s="18">
        <v>9</v>
      </c>
      <c r="M146" s="18" t="s">
        <v>5183</v>
      </c>
      <c r="N146" s="18">
        <v>24002692</v>
      </c>
      <c r="O146" s="18">
        <v>46984</v>
      </c>
      <c r="T146" s="18" t="s">
        <v>5240</v>
      </c>
      <c r="U146" s="18" t="s">
        <v>5185</v>
      </c>
      <c r="V146" s="18" t="s">
        <v>106</v>
      </c>
      <c r="W146" s="18" t="s">
        <v>5124</v>
      </c>
      <c r="Y146" s="18" t="s">
        <v>5232</v>
      </c>
      <c r="Z146" s="18" t="s">
        <v>106</v>
      </c>
      <c r="AA146" s="18" t="s">
        <v>5267</v>
      </c>
      <c r="AC146" s="18" t="s">
        <v>5127</v>
      </c>
      <c r="AD146" s="18" t="s">
        <v>5127</v>
      </c>
      <c r="AE146" s="18" t="s">
        <v>5127</v>
      </c>
      <c r="AF146" s="18" t="s">
        <v>111</v>
      </c>
      <c r="AG146" s="18" t="s">
        <v>5127</v>
      </c>
      <c r="AH146" s="18" t="s">
        <v>111</v>
      </c>
      <c r="AI146" s="18">
        <v>1</v>
      </c>
      <c r="AK146" s="18" t="s">
        <v>5164</v>
      </c>
      <c r="AN146" s="18">
        <v>397724</v>
      </c>
      <c r="AO146" s="18" t="s">
        <v>5165</v>
      </c>
      <c r="AP146" s="18" t="s">
        <v>5758</v>
      </c>
      <c r="AQ146" s="18" t="s">
        <v>5311</v>
      </c>
      <c r="AR146" s="18" t="s">
        <v>5727</v>
      </c>
      <c r="AT146" s="17">
        <f>(365*D146*0.7)/1000</f>
        <v>467366.98749999999</v>
      </c>
      <c r="AU146" s="17">
        <f t="shared" si="5"/>
        <v>117.81700000000001</v>
      </c>
      <c r="AV146" s="18">
        <f>33097/1000</f>
        <v>33.097000000000001</v>
      </c>
      <c r="AW146" s="18">
        <f>84720/1000</f>
        <v>84.72</v>
      </c>
      <c r="AY146" s="18" t="s">
        <v>5728</v>
      </c>
      <c r="BG146" s="18" t="s">
        <v>5663</v>
      </c>
      <c r="BQ146" s="18">
        <f>139398/1000</f>
        <v>139.398</v>
      </c>
      <c r="BR146" s="18">
        <f>55459/1000</f>
        <v>55.459000000000003</v>
      </c>
      <c r="BS146" s="18">
        <f>17950/1000</f>
        <v>17.95</v>
      </c>
      <c r="BT146" s="18">
        <f>62100/1000</f>
        <v>62.1</v>
      </c>
      <c r="BU146" s="18">
        <v>0</v>
      </c>
      <c r="BV146" s="18">
        <f t="shared" si="4"/>
        <v>274.90699999999998</v>
      </c>
      <c r="BW146" s="15">
        <f t="shared" si="6"/>
        <v>274.90699999999998</v>
      </c>
      <c r="BY146" s="18" t="s">
        <v>5134</v>
      </c>
      <c r="BZ146" s="18" t="s">
        <v>5688</v>
      </c>
      <c r="CD146" s="18" t="s">
        <v>5127</v>
      </c>
      <c r="CE146" s="18" t="s">
        <v>5127</v>
      </c>
      <c r="CF146" s="18" t="s">
        <v>5135</v>
      </c>
      <c r="CG146" s="18" t="s">
        <v>5193</v>
      </c>
      <c r="CH146" s="18" t="s">
        <v>5556</v>
      </c>
      <c r="CI146" s="18" t="s">
        <v>5195</v>
      </c>
      <c r="CJ146" s="18" t="s">
        <v>5196</v>
      </c>
      <c r="CK146" s="18" t="s">
        <v>5341</v>
      </c>
      <c r="CL146" s="18">
        <v>0</v>
      </c>
      <c r="CM146" s="18">
        <v>1</v>
      </c>
      <c r="CN146" s="18">
        <v>0</v>
      </c>
      <c r="CO146" s="18">
        <v>1</v>
      </c>
      <c r="CP146" s="18">
        <v>0</v>
      </c>
      <c r="CQ146" s="18">
        <v>0</v>
      </c>
      <c r="CR146" s="18" t="s">
        <v>5141</v>
      </c>
      <c r="CS146" s="18" t="s">
        <v>5141</v>
      </c>
      <c r="CT146" s="18">
        <v>0</v>
      </c>
      <c r="CU146" s="18">
        <v>0</v>
      </c>
      <c r="CV146" s="18">
        <v>0</v>
      </c>
      <c r="CX146" s="18">
        <v>1</v>
      </c>
      <c r="CY146" s="18">
        <v>1</v>
      </c>
      <c r="CZ146" s="18">
        <v>0</v>
      </c>
      <c r="DA146" s="18">
        <v>1</v>
      </c>
      <c r="DB146" s="18">
        <v>1</v>
      </c>
      <c r="DC146" s="18">
        <v>1</v>
      </c>
      <c r="DD146" s="18">
        <v>1</v>
      </c>
      <c r="DE146" s="18" t="s">
        <v>5141</v>
      </c>
      <c r="DF146" s="18" t="s">
        <v>5141</v>
      </c>
      <c r="DG146" s="18">
        <v>0</v>
      </c>
      <c r="DH146" s="18">
        <v>1</v>
      </c>
      <c r="DI146" s="18">
        <v>2</v>
      </c>
      <c r="DK146" s="18">
        <v>0</v>
      </c>
      <c r="DL146" s="18">
        <v>0</v>
      </c>
      <c r="DM146" s="18" t="s">
        <v>5127</v>
      </c>
      <c r="DN146" s="18" t="s">
        <v>5172</v>
      </c>
      <c r="DO146" s="18" t="s">
        <v>5371</v>
      </c>
      <c r="DP146" s="18" t="s">
        <v>113</v>
      </c>
      <c r="DS146" s="18">
        <v>0</v>
      </c>
      <c r="DT146" s="18">
        <v>1</v>
      </c>
      <c r="DU146" s="18">
        <v>1</v>
      </c>
      <c r="DV146" s="18" t="s">
        <v>5301</v>
      </c>
      <c r="DX146" s="18" t="s">
        <v>5222</v>
      </c>
      <c r="DY146" s="18" t="s">
        <v>106</v>
      </c>
      <c r="DZ146" s="18" t="s">
        <v>106</v>
      </c>
      <c r="EA146" s="18" t="s">
        <v>5146</v>
      </c>
      <c r="EB146" s="18">
        <v>274907</v>
      </c>
      <c r="EC146" s="18" t="s">
        <v>106</v>
      </c>
      <c r="ED146" s="18" t="s">
        <v>5176</v>
      </c>
      <c r="EE146" s="18" t="s">
        <v>106</v>
      </c>
      <c r="EF146" s="18" t="s">
        <v>106</v>
      </c>
      <c r="EG146" s="18" t="s">
        <v>5148</v>
      </c>
      <c r="EH146" s="18" t="s">
        <v>5203</v>
      </c>
      <c r="EI146" s="18" t="s">
        <v>5204</v>
      </c>
      <c r="EJ146" s="18" t="s">
        <v>5245</v>
      </c>
      <c r="EN146" s="18" t="s">
        <v>113</v>
      </c>
      <c r="EO146" s="18" t="s">
        <v>113</v>
      </c>
      <c r="EP146" s="18" t="s">
        <v>113</v>
      </c>
      <c r="ER146" s="18" t="s">
        <v>5289</v>
      </c>
      <c r="ES146" s="18" t="s">
        <v>5744</v>
      </c>
      <c r="ET146" s="18" t="s">
        <v>5154</v>
      </c>
      <c r="EU146" s="18" t="s">
        <v>5155</v>
      </c>
      <c r="EV146" s="18" t="s">
        <v>5730</v>
      </c>
      <c r="EW146" s="18" t="s">
        <v>5247</v>
      </c>
      <c r="EX146" s="18" t="s">
        <v>5158</v>
      </c>
      <c r="EY146" s="18" t="s">
        <v>5181</v>
      </c>
      <c r="EZ146" s="18" t="s">
        <v>5182</v>
      </c>
      <c r="FA146" s="18" t="s">
        <v>144</v>
      </c>
      <c r="FB146" s="18" t="s">
        <v>5161</v>
      </c>
    </row>
    <row r="147" spans="1:158" ht="10.5" customHeight="1" x14ac:dyDescent="0.2">
      <c r="A147" s="16">
        <v>41</v>
      </c>
      <c r="B147" s="16" t="s">
        <v>1476</v>
      </c>
      <c r="C147" s="16" t="s">
        <v>108</v>
      </c>
      <c r="D147" s="16">
        <v>1829225</v>
      </c>
      <c r="E147" s="16" t="s">
        <v>6660</v>
      </c>
      <c r="F147" s="18" t="s">
        <v>108</v>
      </c>
      <c r="G147" s="18" t="s">
        <v>106</v>
      </c>
      <c r="H147" s="15" t="s">
        <v>5127</v>
      </c>
      <c r="I147" s="18">
        <v>22</v>
      </c>
      <c r="J147" s="18">
        <v>17</v>
      </c>
      <c r="K147" s="18">
        <v>5</v>
      </c>
      <c r="L147" s="18">
        <v>0</v>
      </c>
      <c r="M147" s="18" t="s">
        <v>5121</v>
      </c>
      <c r="N147" s="18">
        <v>24002018</v>
      </c>
      <c r="O147" s="18">
        <v>46583</v>
      </c>
      <c r="T147" s="18" t="s">
        <v>5726</v>
      </c>
      <c r="U147" s="18" t="s">
        <v>5185</v>
      </c>
      <c r="V147" s="18" t="s">
        <v>106</v>
      </c>
      <c r="W147" s="18" t="s">
        <v>5124</v>
      </c>
      <c r="Y147" s="18" t="s">
        <v>5232</v>
      </c>
      <c r="Z147" s="18" t="s">
        <v>106</v>
      </c>
      <c r="AA147" s="18" t="s">
        <v>5163</v>
      </c>
      <c r="AB147" s="18" t="s">
        <v>5233</v>
      </c>
      <c r="AC147" s="18" t="s">
        <v>5127</v>
      </c>
      <c r="AD147" s="18" t="s">
        <v>5127</v>
      </c>
      <c r="AE147" s="18" t="s">
        <v>5127</v>
      </c>
      <c r="AF147" s="18" t="s">
        <v>5127</v>
      </c>
      <c r="AG147" s="18" t="s">
        <v>5127</v>
      </c>
      <c r="AH147" s="18" t="s">
        <v>5127</v>
      </c>
      <c r="AI147" s="18">
        <v>1</v>
      </c>
      <c r="AK147" s="18" t="s">
        <v>5164</v>
      </c>
      <c r="AN147" s="18">
        <v>615435</v>
      </c>
      <c r="AO147" s="18" t="s">
        <v>5165</v>
      </c>
      <c r="AP147" s="18" t="s">
        <v>5763</v>
      </c>
      <c r="AQ147" s="18" t="s">
        <v>5311</v>
      </c>
      <c r="AR147" s="18" t="s">
        <v>5727</v>
      </c>
      <c r="AT147" s="17">
        <f>(365*D147*0.7)/1000</f>
        <v>467366.98749999999</v>
      </c>
      <c r="AU147" s="17">
        <f t="shared" si="5"/>
        <v>184.631</v>
      </c>
      <c r="AV147" s="18">
        <f>82281/1000</f>
        <v>82.281000000000006</v>
      </c>
      <c r="AW147" s="18">
        <f>102350/1000</f>
        <v>102.35</v>
      </c>
      <c r="AY147" s="18" t="s">
        <v>5728</v>
      </c>
      <c r="BG147" s="18" t="s">
        <v>5663</v>
      </c>
      <c r="BQ147" s="18">
        <f>162790/1000</f>
        <v>162.79</v>
      </c>
      <c r="BR147" s="18">
        <f>108825/1000</f>
        <v>108.825</v>
      </c>
      <c r="BS147" s="18">
        <f>34370/1000</f>
        <v>34.369999999999997</v>
      </c>
      <c r="BT147" s="18">
        <f>124820/1000</f>
        <v>124.82</v>
      </c>
      <c r="BU147" s="18">
        <v>0</v>
      </c>
      <c r="BV147" s="18">
        <f t="shared" si="4"/>
        <v>430.80500000000001</v>
      </c>
      <c r="BW147" s="15">
        <f t="shared" si="6"/>
        <v>430.80500000000001</v>
      </c>
      <c r="BY147" s="18" t="s">
        <v>5134</v>
      </c>
      <c r="BZ147" s="18" t="s">
        <v>5688</v>
      </c>
      <c r="CD147" s="18" t="s">
        <v>5127</v>
      </c>
      <c r="CE147" s="18" t="s">
        <v>5127</v>
      </c>
      <c r="CF147" s="18" t="s">
        <v>5135</v>
      </c>
      <c r="CG147" s="18" t="s">
        <v>5193</v>
      </c>
      <c r="CH147" s="18" t="s">
        <v>5556</v>
      </c>
      <c r="CI147" s="18" t="s">
        <v>5195</v>
      </c>
      <c r="CJ147" s="18" t="s">
        <v>5196</v>
      </c>
      <c r="CK147" s="18" t="s">
        <v>5341</v>
      </c>
      <c r="CL147" s="18">
        <v>0</v>
      </c>
      <c r="CM147" s="18">
        <v>1</v>
      </c>
      <c r="CN147" s="18">
        <v>0</v>
      </c>
      <c r="CO147" s="18">
        <v>1</v>
      </c>
      <c r="CP147" s="18">
        <v>1</v>
      </c>
      <c r="CQ147" s="18">
        <v>1</v>
      </c>
      <c r="CR147" s="18" t="s">
        <v>5141</v>
      </c>
      <c r="CS147" s="18" t="s">
        <v>5141</v>
      </c>
      <c r="CT147" s="18">
        <v>0</v>
      </c>
      <c r="CU147" s="18">
        <v>1</v>
      </c>
      <c r="CV147" s="18">
        <v>1</v>
      </c>
      <c r="CX147" s="18">
        <v>1</v>
      </c>
      <c r="CY147" s="18">
        <v>0</v>
      </c>
      <c r="CZ147" s="18">
        <v>1</v>
      </c>
      <c r="DA147" s="18">
        <v>1</v>
      </c>
      <c r="DB147" s="18">
        <v>1</v>
      </c>
      <c r="DC147" s="18">
        <v>1</v>
      </c>
      <c r="DD147" s="18">
        <v>1</v>
      </c>
      <c r="DE147" s="18" t="s">
        <v>5141</v>
      </c>
      <c r="DF147" s="18" t="s">
        <v>5141</v>
      </c>
      <c r="DG147" s="18">
        <v>1</v>
      </c>
      <c r="DH147" s="18">
        <v>2</v>
      </c>
      <c r="DI147" s="18">
        <v>2</v>
      </c>
      <c r="DK147" s="18">
        <v>0</v>
      </c>
      <c r="DL147" s="18">
        <v>0</v>
      </c>
      <c r="DM147" s="18" t="s">
        <v>5127</v>
      </c>
      <c r="DN147" s="18" t="s">
        <v>5314</v>
      </c>
      <c r="DO147" s="18" t="s">
        <v>5371</v>
      </c>
      <c r="DP147" s="18" t="s">
        <v>113</v>
      </c>
      <c r="DS147" s="18">
        <v>0</v>
      </c>
      <c r="DT147" s="18">
        <v>1</v>
      </c>
      <c r="DU147" s="18">
        <v>1</v>
      </c>
      <c r="DV147" s="18" t="s">
        <v>5301</v>
      </c>
      <c r="DX147" s="18" t="s">
        <v>5222</v>
      </c>
      <c r="DY147" s="18" t="s">
        <v>106</v>
      </c>
      <c r="DZ147" s="18" t="s">
        <v>106</v>
      </c>
      <c r="EA147" s="18" t="s">
        <v>5586</v>
      </c>
      <c r="EB147" s="18">
        <v>430805</v>
      </c>
      <c r="EC147" s="18" t="s">
        <v>106</v>
      </c>
      <c r="ED147" s="18" t="s">
        <v>5176</v>
      </c>
      <c r="EE147" s="18" t="s">
        <v>106</v>
      </c>
      <c r="EF147" s="18" t="s">
        <v>106</v>
      </c>
      <c r="EG147" s="18" t="s">
        <v>5148</v>
      </c>
      <c r="EH147" s="18" t="s">
        <v>5203</v>
      </c>
      <c r="EI147" s="18" t="s">
        <v>5204</v>
      </c>
      <c r="EJ147" s="18" t="s">
        <v>5245</v>
      </c>
      <c r="EN147" s="18" t="s">
        <v>106</v>
      </c>
      <c r="EO147" s="18" t="s">
        <v>113</v>
      </c>
      <c r="EP147" s="18" t="s">
        <v>113</v>
      </c>
      <c r="EQ147" s="18" t="s">
        <v>113</v>
      </c>
      <c r="ER147" s="18" t="s">
        <v>5289</v>
      </c>
      <c r="ES147" s="18" t="s">
        <v>5737</v>
      </c>
      <c r="ET147" s="18" t="s">
        <v>5154</v>
      </c>
      <c r="EU147" s="18" t="s">
        <v>5318</v>
      </c>
      <c r="EV147" s="18" t="s">
        <v>5730</v>
      </c>
      <c r="EW147" s="18" t="s">
        <v>5247</v>
      </c>
      <c r="EX147" s="18" t="s">
        <v>5158</v>
      </c>
      <c r="EY147" s="18" t="s">
        <v>164</v>
      </c>
      <c r="EZ147" s="18" t="s">
        <v>5182</v>
      </c>
      <c r="FA147" s="18" t="s">
        <v>144</v>
      </c>
      <c r="FB147" s="18" t="s">
        <v>5161</v>
      </c>
    </row>
    <row r="148" spans="1:158" ht="10.5" customHeight="1" x14ac:dyDescent="0.2">
      <c r="A148" s="16">
        <v>41</v>
      </c>
      <c r="B148" s="16" t="s">
        <v>1476</v>
      </c>
      <c r="C148" s="16" t="s">
        <v>108</v>
      </c>
      <c r="D148" s="16">
        <v>1829225</v>
      </c>
      <c r="E148" s="16" t="s">
        <v>6660</v>
      </c>
      <c r="F148" s="18" t="s">
        <v>108</v>
      </c>
      <c r="G148" s="18" t="s">
        <v>106</v>
      </c>
      <c r="H148" s="15" t="s">
        <v>5127</v>
      </c>
      <c r="I148" s="18">
        <v>16</v>
      </c>
      <c r="J148" s="18">
        <v>8</v>
      </c>
      <c r="K148" s="18">
        <v>8</v>
      </c>
      <c r="M148" s="18" t="s">
        <v>5183</v>
      </c>
      <c r="N148" s="18">
        <v>23002813</v>
      </c>
      <c r="O148" s="18">
        <v>45900</v>
      </c>
      <c r="T148" s="18" t="s">
        <v>5240</v>
      </c>
      <c r="U148" s="18" t="s">
        <v>5185</v>
      </c>
      <c r="V148" s="18" t="s">
        <v>106</v>
      </c>
      <c r="W148" s="18" t="s">
        <v>5124</v>
      </c>
      <c r="Y148" s="18" t="s">
        <v>5232</v>
      </c>
      <c r="Z148" s="18" t="s">
        <v>106</v>
      </c>
      <c r="AA148" s="18" t="s">
        <v>5126</v>
      </c>
      <c r="AC148" s="18" t="s">
        <v>5127</v>
      </c>
      <c r="AD148" s="18" t="s">
        <v>5127</v>
      </c>
      <c r="AE148" s="18" t="s">
        <v>5127</v>
      </c>
      <c r="AF148" s="18" t="s">
        <v>5127</v>
      </c>
      <c r="AG148" s="18" t="s">
        <v>5127</v>
      </c>
      <c r="AH148" s="18" t="s">
        <v>5127</v>
      </c>
      <c r="AI148" s="18">
        <v>1</v>
      </c>
      <c r="AK148" s="18" t="s">
        <v>5164</v>
      </c>
      <c r="AN148" s="18">
        <v>539491</v>
      </c>
      <c r="AO148" s="18" t="s">
        <v>5165</v>
      </c>
      <c r="AP148" s="18" t="s">
        <v>5764</v>
      </c>
      <c r="AQ148" s="18" t="s">
        <v>5311</v>
      </c>
      <c r="AR148" s="18" t="s">
        <v>5727</v>
      </c>
      <c r="AT148" s="17">
        <f>(365*D148*0.7)/1000</f>
        <v>467366.98749999999</v>
      </c>
      <c r="AU148" s="17">
        <f t="shared" si="5"/>
        <v>161.84699999999998</v>
      </c>
      <c r="AV148" s="18">
        <f>59247/1000</f>
        <v>59.247</v>
      </c>
      <c r="AW148" s="18">
        <f>102600/1000</f>
        <v>102.6</v>
      </c>
      <c r="AY148" s="18" t="s">
        <v>5728</v>
      </c>
      <c r="BG148" s="18" t="s">
        <v>5663</v>
      </c>
      <c r="BQ148" s="18">
        <f>177556/1000</f>
        <v>177.55600000000001</v>
      </c>
      <c r="BR148" s="18">
        <f>82630/1000</f>
        <v>82.63</v>
      </c>
      <c r="BS148" s="18">
        <f>19169/1000</f>
        <v>19.169</v>
      </c>
      <c r="BT148" s="18">
        <f>98289/1000</f>
        <v>98.289000000000001</v>
      </c>
      <c r="BU148" s="18">
        <v>0</v>
      </c>
      <c r="BV148" s="18">
        <f t="shared" si="4"/>
        <v>377.64400000000001</v>
      </c>
      <c r="BW148" s="15">
        <f t="shared" si="6"/>
        <v>377.64400000000001</v>
      </c>
      <c r="BY148" s="18" t="s">
        <v>5134</v>
      </c>
      <c r="BZ148" s="18" t="s">
        <v>5765</v>
      </c>
      <c r="CD148" s="18" t="s">
        <v>5127</v>
      </c>
      <c r="CE148" s="18" t="s">
        <v>5127</v>
      </c>
      <c r="CF148" s="18" t="s">
        <v>5282</v>
      </c>
      <c r="CG148" s="18" t="s">
        <v>5193</v>
      </c>
      <c r="CH148" s="18" t="s">
        <v>5556</v>
      </c>
      <c r="CI148" s="18" t="s">
        <v>5195</v>
      </c>
      <c r="CJ148" s="18" t="s">
        <v>5196</v>
      </c>
      <c r="CK148" s="18" t="s">
        <v>5341</v>
      </c>
      <c r="CL148" s="18">
        <v>1</v>
      </c>
      <c r="CM148" s="18">
        <v>1</v>
      </c>
      <c r="CN148" s="18">
        <v>1</v>
      </c>
      <c r="CO148" s="18">
        <v>1</v>
      </c>
      <c r="CP148" s="18">
        <v>1</v>
      </c>
      <c r="CQ148" s="18">
        <v>1</v>
      </c>
      <c r="CR148" s="18" t="s">
        <v>5735</v>
      </c>
      <c r="CS148" s="18" t="s">
        <v>5141</v>
      </c>
      <c r="CT148" s="18">
        <v>1</v>
      </c>
      <c r="CU148" s="18">
        <v>2</v>
      </c>
      <c r="CV148" s="18">
        <v>2</v>
      </c>
      <c r="CX148" s="18">
        <v>1</v>
      </c>
      <c r="CY148" s="18">
        <v>1</v>
      </c>
      <c r="CZ148" s="18">
        <v>1</v>
      </c>
      <c r="DA148" s="18">
        <v>1</v>
      </c>
      <c r="DB148" s="18">
        <v>1</v>
      </c>
      <c r="DC148" s="18">
        <v>1</v>
      </c>
      <c r="DD148" s="18">
        <v>1</v>
      </c>
      <c r="DE148" s="18" t="s">
        <v>5141</v>
      </c>
      <c r="DF148" s="18" t="s">
        <v>5141</v>
      </c>
      <c r="DG148" s="18">
        <v>1</v>
      </c>
      <c r="DH148" s="18">
        <v>2</v>
      </c>
      <c r="DI148" s="18">
        <v>2</v>
      </c>
      <c r="DK148" s="18">
        <v>0</v>
      </c>
      <c r="DL148" s="18">
        <v>0</v>
      </c>
      <c r="DM148" s="18" t="s">
        <v>5127</v>
      </c>
      <c r="DN148" s="18" t="s">
        <v>5172</v>
      </c>
      <c r="DO148" s="18" t="s">
        <v>5742</v>
      </c>
      <c r="DP148" s="18" t="s">
        <v>113</v>
      </c>
      <c r="DS148" s="18">
        <v>0</v>
      </c>
      <c r="DT148" s="18">
        <v>1</v>
      </c>
      <c r="DU148" s="18">
        <v>1</v>
      </c>
      <c r="DV148" s="18" t="s">
        <v>5301</v>
      </c>
      <c r="DX148" s="18" t="s">
        <v>5222</v>
      </c>
      <c r="DY148" s="18" t="s">
        <v>106</v>
      </c>
      <c r="DZ148" s="18" t="s">
        <v>106</v>
      </c>
      <c r="EA148" s="18" t="s">
        <v>5243</v>
      </c>
      <c r="EB148" s="18">
        <v>377644</v>
      </c>
      <c r="EC148" s="18" t="s">
        <v>106</v>
      </c>
      <c r="ED148" s="18" t="s">
        <v>5176</v>
      </c>
      <c r="EE148" s="18" t="s">
        <v>106</v>
      </c>
      <c r="EF148" s="18" t="s">
        <v>106</v>
      </c>
      <c r="EG148" s="18" t="s">
        <v>5148</v>
      </c>
      <c r="EH148" s="18" t="s">
        <v>5203</v>
      </c>
      <c r="EI148" s="18" t="s">
        <v>5204</v>
      </c>
      <c r="EJ148" s="18" t="s">
        <v>5245</v>
      </c>
      <c r="EN148" s="18" t="s">
        <v>106</v>
      </c>
      <c r="EO148" s="18" t="s">
        <v>113</v>
      </c>
      <c r="EP148" s="18" t="s">
        <v>113</v>
      </c>
      <c r="EQ148" s="18" t="s">
        <v>113</v>
      </c>
      <c r="ER148" s="18" t="s">
        <v>5289</v>
      </c>
      <c r="ES148" s="18" t="s">
        <v>5352</v>
      </c>
      <c r="ET148" s="18" t="s">
        <v>5154</v>
      </c>
      <c r="EU148" s="18" t="s">
        <v>5318</v>
      </c>
      <c r="EV148" s="18" t="s">
        <v>5730</v>
      </c>
      <c r="EW148" s="18" t="s">
        <v>5766</v>
      </c>
      <c r="EX148" s="18" t="s">
        <v>5158</v>
      </c>
      <c r="EY148" s="18" t="s">
        <v>5181</v>
      </c>
      <c r="EZ148" s="18" t="s">
        <v>5182</v>
      </c>
      <c r="FA148" s="18" t="s">
        <v>144</v>
      </c>
      <c r="FB148" s="18" t="s">
        <v>5161</v>
      </c>
    </row>
    <row r="149" spans="1:158" ht="10.5" customHeight="1" x14ac:dyDescent="0.2">
      <c r="A149" s="16">
        <v>41</v>
      </c>
      <c r="B149" s="16" t="s">
        <v>1476</v>
      </c>
      <c r="C149" s="16" t="s">
        <v>108</v>
      </c>
      <c r="D149" s="16">
        <v>1829225</v>
      </c>
      <c r="E149" s="16" t="s">
        <v>6660</v>
      </c>
      <c r="F149" s="18" t="s">
        <v>108</v>
      </c>
      <c r="G149" s="18" t="s">
        <v>106</v>
      </c>
      <c r="H149" s="15" t="s">
        <v>5127</v>
      </c>
      <c r="I149" s="18">
        <v>16</v>
      </c>
      <c r="J149" s="18">
        <v>8</v>
      </c>
      <c r="K149" s="18">
        <v>8</v>
      </c>
      <c r="L149" s="18">
        <v>0</v>
      </c>
      <c r="M149" s="18" t="s">
        <v>5183</v>
      </c>
      <c r="N149" s="18">
        <v>25000993</v>
      </c>
      <c r="O149" s="18">
        <v>46127</v>
      </c>
      <c r="T149" s="18" t="s">
        <v>111</v>
      </c>
      <c r="U149" s="18" t="s">
        <v>5185</v>
      </c>
      <c r="V149" s="18" t="s">
        <v>106</v>
      </c>
      <c r="W149" s="18" t="s">
        <v>5124</v>
      </c>
      <c r="Y149" s="18" t="s">
        <v>5232</v>
      </c>
      <c r="Z149" s="18" t="s">
        <v>106</v>
      </c>
      <c r="AA149" s="18" t="s">
        <v>5267</v>
      </c>
      <c r="AC149" s="18" t="s">
        <v>5127</v>
      </c>
      <c r="AD149" s="18" t="s">
        <v>5127</v>
      </c>
      <c r="AE149" s="18" t="s">
        <v>5127</v>
      </c>
      <c r="AF149" s="18" t="s">
        <v>5127</v>
      </c>
      <c r="AG149" s="18" t="s">
        <v>5127</v>
      </c>
      <c r="AH149" s="18" t="s">
        <v>5127</v>
      </c>
      <c r="AI149" s="18">
        <v>1</v>
      </c>
      <c r="AK149" s="18" t="s">
        <v>5164</v>
      </c>
      <c r="AN149" s="18">
        <v>182243</v>
      </c>
      <c r="AO149" s="18" t="s">
        <v>5165</v>
      </c>
      <c r="AP149" s="18" t="s">
        <v>5767</v>
      </c>
      <c r="AQ149" s="18" t="s">
        <v>5393</v>
      </c>
      <c r="AR149" s="18" t="s">
        <v>5727</v>
      </c>
      <c r="AT149" s="17">
        <f>(365*D149*0.7)/1000</f>
        <v>467366.98749999999</v>
      </c>
      <c r="AU149" s="17">
        <f t="shared" si="5"/>
        <v>54.673000000000002</v>
      </c>
      <c r="AV149" s="18">
        <f>35023/1000</f>
        <v>35.023000000000003</v>
      </c>
      <c r="AW149" s="18">
        <f>19650/1000</f>
        <v>19.649999999999999</v>
      </c>
      <c r="AY149" s="18" t="s">
        <v>5728</v>
      </c>
      <c r="BG149" s="18" t="s">
        <v>5663</v>
      </c>
      <c r="BQ149" s="18">
        <f>74770/1000</f>
        <v>74.77</v>
      </c>
      <c r="BR149" s="18">
        <f>19320/1000</f>
        <v>19.32</v>
      </c>
      <c r="BS149" s="18">
        <f>2480/1000</f>
        <v>2.48</v>
      </c>
      <c r="BT149" s="18">
        <f>31000/1000</f>
        <v>31</v>
      </c>
      <c r="BU149" s="18">
        <v>0</v>
      </c>
      <c r="BV149" s="18">
        <f t="shared" si="4"/>
        <v>127.57000000000001</v>
      </c>
      <c r="BW149" s="15">
        <f t="shared" si="6"/>
        <v>127.57000000000001</v>
      </c>
      <c r="BY149" s="18" t="s">
        <v>5134</v>
      </c>
      <c r="BZ149" s="18" t="s">
        <v>5768</v>
      </c>
      <c r="CD149" s="18" t="s">
        <v>5127</v>
      </c>
      <c r="CE149" s="18" t="s">
        <v>5127</v>
      </c>
      <c r="CF149" s="18" t="s">
        <v>5282</v>
      </c>
      <c r="CG149" s="18" t="s">
        <v>5193</v>
      </c>
      <c r="CH149" s="18" t="s">
        <v>5194</v>
      </c>
      <c r="CI149" s="18" t="s">
        <v>5195</v>
      </c>
      <c r="CJ149" s="18" t="s">
        <v>5196</v>
      </c>
      <c r="CK149" s="18" t="s">
        <v>5341</v>
      </c>
      <c r="CL149" s="18">
        <v>1</v>
      </c>
      <c r="CM149" s="18">
        <v>1</v>
      </c>
      <c r="CN149" s="18">
        <v>0</v>
      </c>
      <c r="CO149" s="18">
        <v>1</v>
      </c>
      <c r="CP149" s="18">
        <v>1</v>
      </c>
      <c r="CQ149" s="18">
        <v>1</v>
      </c>
      <c r="CR149" s="18" t="s">
        <v>5141</v>
      </c>
      <c r="CS149" s="18" t="s">
        <v>5141</v>
      </c>
      <c r="CT149" s="18">
        <v>0</v>
      </c>
      <c r="CU149" s="18">
        <v>1</v>
      </c>
      <c r="CV149" s="18">
        <v>2</v>
      </c>
      <c r="CX149" s="18">
        <v>1</v>
      </c>
      <c r="CY149" s="18">
        <v>1</v>
      </c>
      <c r="CZ149" s="18">
        <v>1</v>
      </c>
      <c r="DA149" s="18">
        <v>0</v>
      </c>
      <c r="DB149" s="18">
        <v>1</v>
      </c>
      <c r="DC149" s="18">
        <v>0</v>
      </c>
      <c r="DD149" s="18">
        <v>1</v>
      </c>
      <c r="DE149" s="18" t="s">
        <v>5141</v>
      </c>
      <c r="DF149" s="18" t="s">
        <v>5141</v>
      </c>
      <c r="DG149" s="18">
        <v>0</v>
      </c>
      <c r="DH149" s="18">
        <v>2</v>
      </c>
      <c r="DI149" s="18">
        <v>2</v>
      </c>
      <c r="DK149" s="18">
        <v>1</v>
      </c>
      <c r="DL149" s="18">
        <v>0</v>
      </c>
      <c r="DM149" s="18" t="s">
        <v>5127</v>
      </c>
      <c r="DN149" s="18" t="s">
        <v>5314</v>
      </c>
      <c r="DO149" s="18" t="s">
        <v>5371</v>
      </c>
      <c r="DP149" s="18" t="s">
        <v>113</v>
      </c>
      <c r="DS149" s="18">
        <v>0</v>
      </c>
      <c r="DT149" s="18">
        <v>1</v>
      </c>
      <c r="DU149" s="18">
        <v>1</v>
      </c>
      <c r="DV149" s="18" t="s">
        <v>5301</v>
      </c>
      <c r="DX149" s="18" t="s">
        <v>5222</v>
      </c>
      <c r="DY149" s="18" t="s">
        <v>106</v>
      </c>
      <c r="DZ149" s="18" t="s">
        <v>106</v>
      </c>
      <c r="EA149" s="18" t="s">
        <v>5243</v>
      </c>
      <c r="EB149" s="18">
        <v>127570</v>
      </c>
      <c r="EC149" s="18" t="s">
        <v>106</v>
      </c>
      <c r="ED149" s="18" t="s">
        <v>5176</v>
      </c>
      <c r="EE149" s="18" t="s">
        <v>106</v>
      </c>
      <c r="EF149" s="18" t="s">
        <v>106</v>
      </c>
      <c r="EG149" s="18" t="s">
        <v>5148</v>
      </c>
      <c r="EH149" s="18" t="s">
        <v>5203</v>
      </c>
      <c r="EI149" s="18" t="s">
        <v>5204</v>
      </c>
      <c r="EJ149" s="18" t="s">
        <v>5245</v>
      </c>
      <c r="EN149" s="18" t="s">
        <v>106</v>
      </c>
      <c r="EO149" s="18" t="s">
        <v>113</v>
      </c>
      <c r="EP149" s="18" t="s">
        <v>113</v>
      </c>
      <c r="EQ149" s="18" t="s">
        <v>113</v>
      </c>
      <c r="ER149" s="18" t="s">
        <v>5155</v>
      </c>
      <c r="ES149" s="18" t="s">
        <v>5769</v>
      </c>
      <c r="ET149" s="18" t="s">
        <v>5154</v>
      </c>
      <c r="EU149" s="18" t="s">
        <v>5155</v>
      </c>
      <c r="EV149" s="18" t="s">
        <v>5730</v>
      </c>
      <c r="EW149" s="18" t="s">
        <v>5766</v>
      </c>
      <c r="EX149" s="18" t="s">
        <v>5158</v>
      </c>
      <c r="EY149" s="18" t="s">
        <v>5278</v>
      </c>
      <c r="EZ149" s="18" t="s">
        <v>5182</v>
      </c>
      <c r="FA149" s="18" t="s">
        <v>144</v>
      </c>
      <c r="FB149" s="18" t="s">
        <v>5161</v>
      </c>
    </row>
    <row r="150" spans="1:158" ht="10.5" customHeight="1" x14ac:dyDescent="0.2">
      <c r="A150" s="16">
        <v>41</v>
      </c>
      <c r="B150" s="16" t="s">
        <v>1476</v>
      </c>
      <c r="C150" s="16" t="s">
        <v>108</v>
      </c>
      <c r="D150" s="16">
        <v>1829225</v>
      </c>
      <c r="E150" s="16" t="s">
        <v>6660</v>
      </c>
      <c r="F150" s="18" t="s">
        <v>108</v>
      </c>
      <c r="G150" s="18" t="s">
        <v>106</v>
      </c>
      <c r="H150" s="15" t="s">
        <v>5127</v>
      </c>
      <c r="I150" s="18">
        <v>13</v>
      </c>
      <c r="J150" s="18">
        <v>6</v>
      </c>
      <c r="K150" s="18">
        <v>7</v>
      </c>
      <c r="L150" s="18">
        <v>0</v>
      </c>
      <c r="M150" s="18" t="s">
        <v>5183</v>
      </c>
      <c r="N150" s="18">
        <v>23002026</v>
      </c>
      <c r="O150" s="18">
        <v>46556</v>
      </c>
      <c r="T150" s="18" t="s">
        <v>5240</v>
      </c>
      <c r="U150" s="18" t="s">
        <v>5185</v>
      </c>
      <c r="V150" s="18" t="s">
        <v>106</v>
      </c>
      <c r="W150" s="18" t="s">
        <v>5124</v>
      </c>
      <c r="Y150" s="18" t="s">
        <v>5232</v>
      </c>
      <c r="Z150" s="18" t="s">
        <v>106</v>
      </c>
      <c r="AA150" s="18" t="s">
        <v>5267</v>
      </c>
      <c r="AC150" s="18" t="s">
        <v>5127</v>
      </c>
      <c r="AD150" s="18" t="s">
        <v>5127</v>
      </c>
      <c r="AE150" s="18" t="s">
        <v>111</v>
      </c>
      <c r="AF150" s="18" t="s">
        <v>111</v>
      </c>
      <c r="AG150" s="18" t="s">
        <v>5127</v>
      </c>
      <c r="AH150" s="18" t="s">
        <v>111</v>
      </c>
      <c r="AI150" s="18">
        <v>1</v>
      </c>
      <c r="AK150" s="18" t="s">
        <v>5164</v>
      </c>
      <c r="AN150" s="18">
        <v>584657</v>
      </c>
      <c r="AO150" s="18" t="s">
        <v>5165</v>
      </c>
      <c r="AP150" s="18" t="s">
        <v>5758</v>
      </c>
      <c r="AQ150" s="18" t="s">
        <v>5393</v>
      </c>
      <c r="AR150" s="18" t="s">
        <v>5727</v>
      </c>
      <c r="AT150" s="17">
        <f>(365*D150*0.7)/1000</f>
        <v>467366.98749999999</v>
      </c>
      <c r="AU150" s="17">
        <f t="shared" si="5"/>
        <v>175.39699999999999</v>
      </c>
      <c r="AV150" s="18">
        <f>97762/1000</f>
        <v>97.762</v>
      </c>
      <c r="AW150" s="18">
        <f>77635/1000</f>
        <v>77.635000000000005</v>
      </c>
      <c r="AY150" s="18" t="s">
        <v>5728</v>
      </c>
      <c r="BG150" s="18" t="s">
        <v>5663</v>
      </c>
      <c r="BQ150" s="18">
        <f>137610/1000</f>
        <v>137.61000000000001</v>
      </c>
      <c r="BR150" s="18">
        <f>86760/1000</f>
        <v>86.76</v>
      </c>
      <c r="BS150" s="18">
        <f>28300/1000</f>
        <v>28.3</v>
      </c>
      <c r="BT150" s="18">
        <f>156590/1000</f>
        <v>156.59</v>
      </c>
      <c r="BU150" s="18">
        <v>0</v>
      </c>
      <c r="BV150" s="18">
        <f t="shared" si="4"/>
        <v>409.26</v>
      </c>
      <c r="BW150" s="15">
        <f t="shared" si="6"/>
        <v>409.26</v>
      </c>
      <c r="BY150" s="18" t="s">
        <v>5134</v>
      </c>
      <c r="BZ150" s="18" t="s">
        <v>5688</v>
      </c>
      <c r="CD150" s="18" t="s">
        <v>5127</v>
      </c>
      <c r="CE150" s="18" t="s">
        <v>5127</v>
      </c>
      <c r="CF150" s="18" t="s">
        <v>5135</v>
      </c>
      <c r="CG150" s="18" t="s">
        <v>5550</v>
      </c>
      <c r="CH150" s="18" t="s">
        <v>5556</v>
      </c>
      <c r="CI150" s="18" t="s">
        <v>5195</v>
      </c>
      <c r="CJ150" s="18" t="s">
        <v>5196</v>
      </c>
      <c r="CK150" s="18" t="s">
        <v>5341</v>
      </c>
      <c r="CL150" s="18">
        <v>1</v>
      </c>
      <c r="CM150" s="18">
        <v>0</v>
      </c>
      <c r="CN150" s="18">
        <v>0</v>
      </c>
      <c r="CO150" s="18">
        <v>1</v>
      </c>
      <c r="CP150" s="18">
        <v>1</v>
      </c>
      <c r="CQ150" s="18">
        <v>1</v>
      </c>
      <c r="CR150" s="18" t="s">
        <v>5141</v>
      </c>
      <c r="CS150" s="18" t="s">
        <v>5141</v>
      </c>
      <c r="CT150" s="18">
        <v>0</v>
      </c>
      <c r="CU150" s="18">
        <v>1</v>
      </c>
      <c r="CV150" s="18">
        <v>1</v>
      </c>
      <c r="CX150" s="18">
        <v>0</v>
      </c>
      <c r="CY150" s="18">
        <v>1</v>
      </c>
      <c r="CZ150" s="18">
        <v>0</v>
      </c>
      <c r="DA150" s="18">
        <v>0</v>
      </c>
      <c r="DB150" s="18">
        <v>1</v>
      </c>
      <c r="DC150" s="18">
        <v>1</v>
      </c>
      <c r="DD150" s="18">
        <v>1</v>
      </c>
      <c r="DE150" s="18" t="s">
        <v>5141</v>
      </c>
      <c r="DF150" s="18" t="s">
        <v>5141</v>
      </c>
      <c r="DG150" s="18">
        <v>1</v>
      </c>
      <c r="DH150" s="18">
        <v>2</v>
      </c>
      <c r="DI150" s="18">
        <v>2</v>
      </c>
      <c r="DK150" s="18">
        <v>0</v>
      </c>
      <c r="DL150" s="18">
        <v>0</v>
      </c>
      <c r="DM150" s="18" t="s">
        <v>5127</v>
      </c>
      <c r="DN150" s="18" t="s">
        <v>5172</v>
      </c>
      <c r="DO150" s="18" t="s">
        <v>5371</v>
      </c>
      <c r="DP150" s="18" t="s">
        <v>113</v>
      </c>
      <c r="DS150" s="18">
        <v>0</v>
      </c>
      <c r="DT150" s="18">
        <v>0</v>
      </c>
      <c r="DU150" s="18">
        <v>1</v>
      </c>
      <c r="DV150" s="18" t="s">
        <v>5342</v>
      </c>
      <c r="DX150" s="18" t="s">
        <v>5222</v>
      </c>
      <c r="DY150" s="18" t="s">
        <v>106</v>
      </c>
      <c r="DZ150" s="18" t="s">
        <v>106</v>
      </c>
      <c r="EA150" s="18" t="s">
        <v>5243</v>
      </c>
      <c r="EB150" s="18">
        <v>409260</v>
      </c>
      <c r="EC150" s="18" t="s">
        <v>106</v>
      </c>
      <c r="ED150" s="18" t="s">
        <v>5176</v>
      </c>
      <c r="EE150" s="18" t="s">
        <v>106</v>
      </c>
      <c r="EF150" s="18" t="s">
        <v>106</v>
      </c>
      <c r="EH150" s="18" t="s">
        <v>5203</v>
      </c>
      <c r="EI150" s="18" t="s">
        <v>5204</v>
      </c>
      <c r="EJ150" s="18" t="s">
        <v>5245</v>
      </c>
      <c r="EN150" s="18" t="s">
        <v>113</v>
      </c>
      <c r="EO150" s="18" t="s">
        <v>113</v>
      </c>
      <c r="EP150" s="18" t="s">
        <v>113</v>
      </c>
      <c r="EQ150" s="18" t="s">
        <v>113</v>
      </c>
      <c r="ER150" s="18" t="s">
        <v>5289</v>
      </c>
      <c r="ES150" s="18" t="s">
        <v>5352</v>
      </c>
      <c r="ET150" s="18" t="s">
        <v>5154</v>
      </c>
      <c r="EU150" s="18" t="s">
        <v>5318</v>
      </c>
      <c r="EV150" s="18" t="s">
        <v>5730</v>
      </c>
      <c r="EW150" s="18" t="s">
        <v>5247</v>
      </c>
      <c r="EX150" s="18" t="s">
        <v>5158</v>
      </c>
      <c r="EY150" s="18" t="s">
        <v>5278</v>
      </c>
      <c r="EZ150" s="18" t="s">
        <v>5182</v>
      </c>
      <c r="FA150" s="18" t="s">
        <v>144</v>
      </c>
      <c r="FB150" s="18" t="s">
        <v>5161</v>
      </c>
    </row>
    <row r="151" spans="1:158" ht="10.5" customHeight="1" x14ac:dyDescent="0.2">
      <c r="A151" s="16">
        <v>41</v>
      </c>
      <c r="B151" s="16" t="s">
        <v>1476</v>
      </c>
      <c r="C151" s="16" t="s">
        <v>108</v>
      </c>
      <c r="D151" s="16">
        <v>1829225</v>
      </c>
      <c r="E151" s="16" t="s">
        <v>6660</v>
      </c>
      <c r="F151" s="18" t="s">
        <v>108</v>
      </c>
      <c r="G151" s="18" t="s">
        <v>106</v>
      </c>
      <c r="H151" s="15" t="s">
        <v>5127</v>
      </c>
      <c r="I151" s="18">
        <v>14</v>
      </c>
      <c r="J151" s="18">
        <v>8</v>
      </c>
      <c r="K151" s="18">
        <v>6</v>
      </c>
      <c r="L151" s="18">
        <v>0</v>
      </c>
      <c r="M151" s="18" t="s">
        <v>5183</v>
      </c>
      <c r="N151" s="18">
        <v>23004622</v>
      </c>
      <c r="O151" s="18">
        <v>46044</v>
      </c>
      <c r="T151" s="18" t="s">
        <v>5240</v>
      </c>
      <c r="U151" s="18" t="s">
        <v>5185</v>
      </c>
      <c r="V151" s="18" t="s">
        <v>106</v>
      </c>
      <c r="W151" s="18" t="s">
        <v>5124</v>
      </c>
      <c r="Y151" s="18" t="s">
        <v>5232</v>
      </c>
      <c r="Z151" s="18" t="s">
        <v>106</v>
      </c>
      <c r="AA151" s="18" t="s">
        <v>5267</v>
      </c>
      <c r="AC151" s="18" t="s">
        <v>5127</v>
      </c>
      <c r="AD151" s="18" t="s">
        <v>5127</v>
      </c>
      <c r="AE151" s="18" t="s">
        <v>5127</v>
      </c>
      <c r="AF151" s="18" t="s">
        <v>5127</v>
      </c>
      <c r="AG151" s="18" t="s">
        <v>5127</v>
      </c>
      <c r="AH151" s="18" t="s">
        <v>5127</v>
      </c>
      <c r="AI151" s="18">
        <v>1</v>
      </c>
      <c r="AK151" s="18" t="s">
        <v>5164</v>
      </c>
      <c r="AN151" s="18">
        <v>380892</v>
      </c>
      <c r="AO151" s="18" t="s">
        <v>5165</v>
      </c>
      <c r="AP151" s="18" t="s">
        <v>5770</v>
      </c>
      <c r="AQ151" s="18" t="s">
        <v>5311</v>
      </c>
      <c r="AR151" s="18" t="s">
        <v>5727</v>
      </c>
      <c r="AT151" s="17">
        <f>(365*D151*0.7)/1000</f>
        <v>467366.98749999999</v>
      </c>
      <c r="AU151" s="17">
        <f t="shared" si="5"/>
        <v>114.267</v>
      </c>
      <c r="AV151" s="18">
        <f>40917/1000</f>
        <v>40.917000000000002</v>
      </c>
      <c r="AW151" s="18">
        <f>73350/1000</f>
        <v>73.349999999999994</v>
      </c>
      <c r="AY151" s="18" t="s">
        <v>5728</v>
      </c>
      <c r="BG151" s="18" t="s">
        <v>5663</v>
      </c>
      <c r="BQ151" s="18">
        <f>97694/1000</f>
        <v>97.694000000000003</v>
      </c>
      <c r="BR151" s="18">
        <f>48480/1000</f>
        <v>48.48</v>
      </c>
      <c r="BS151" s="18">
        <f>19581/1000</f>
        <v>19.581</v>
      </c>
      <c r="BT151" s="18">
        <f>100870/1000</f>
        <v>100.87</v>
      </c>
      <c r="BU151" s="18">
        <v>0</v>
      </c>
      <c r="BV151" s="18">
        <f t="shared" si="4"/>
        <v>266.625</v>
      </c>
      <c r="BW151" s="15">
        <f t="shared" si="6"/>
        <v>266.625</v>
      </c>
      <c r="BY151" s="18" t="s">
        <v>5134</v>
      </c>
      <c r="BZ151" s="18" t="s">
        <v>5688</v>
      </c>
      <c r="CD151" s="18" t="s">
        <v>5127</v>
      </c>
      <c r="CE151" s="18" t="s">
        <v>5127</v>
      </c>
      <c r="CF151" s="18" t="s">
        <v>5282</v>
      </c>
      <c r="CG151" s="18" t="s">
        <v>5193</v>
      </c>
      <c r="CH151" s="18" t="s">
        <v>5556</v>
      </c>
      <c r="CI151" s="18" t="s">
        <v>5195</v>
      </c>
      <c r="CJ151" s="18" t="s">
        <v>5196</v>
      </c>
      <c r="CK151" s="18" t="s">
        <v>5341</v>
      </c>
      <c r="CL151" s="18">
        <v>0</v>
      </c>
      <c r="CM151" s="18">
        <v>1</v>
      </c>
      <c r="CN151" s="18">
        <v>0</v>
      </c>
      <c r="CO151" s="18">
        <v>1</v>
      </c>
      <c r="CP151" s="18">
        <v>1</v>
      </c>
      <c r="CQ151" s="18">
        <v>1</v>
      </c>
      <c r="CR151" s="18" t="s">
        <v>5141</v>
      </c>
      <c r="CS151" s="18" t="s">
        <v>5141</v>
      </c>
      <c r="CT151" s="18">
        <v>0</v>
      </c>
      <c r="CU151" s="18">
        <v>2</v>
      </c>
      <c r="CV151" s="18">
        <v>2</v>
      </c>
      <c r="CX151" s="18">
        <v>1</v>
      </c>
      <c r="CY151" s="18">
        <v>1</v>
      </c>
      <c r="CZ151" s="18">
        <v>1</v>
      </c>
      <c r="DA151" s="18">
        <v>0</v>
      </c>
      <c r="DB151" s="18">
        <v>1</v>
      </c>
      <c r="DC151" s="18">
        <v>1</v>
      </c>
      <c r="DD151" s="18">
        <v>1</v>
      </c>
      <c r="DE151" s="18" t="s">
        <v>5141</v>
      </c>
      <c r="DF151" s="18" t="s">
        <v>5141</v>
      </c>
      <c r="DG151" s="18">
        <v>0</v>
      </c>
      <c r="DH151" s="18">
        <v>2</v>
      </c>
      <c r="DI151" s="18">
        <v>2</v>
      </c>
      <c r="DK151" s="18">
        <v>0</v>
      </c>
      <c r="DL151" s="18">
        <v>0</v>
      </c>
      <c r="DM151" s="18" t="s">
        <v>5127</v>
      </c>
      <c r="DN151" s="18" t="s">
        <v>5172</v>
      </c>
      <c r="DO151" s="18" t="s">
        <v>5371</v>
      </c>
      <c r="DP151" s="18" t="s">
        <v>113</v>
      </c>
      <c r="DS151" s="18">
        <v>0</v>
      </c>
      <c r="DT151" s="18">
        <v>1</v>
      </c>
      <c r="DU151" s="18">
        <v>1</v>
      </c>
      <c r="DV151" s="18" t="s">
        <v>5301</v>
      </c>
      <c r="DX151" s="18" t="s">
        <v>5222</v>
      </c>
      <c r="DY151" s="18" t="s">
        <v>106</v>
      </c>
      <c r="DZ151" s="18" t="s">
        <v>106</v>
      </c>
      <c r="EA151" s="18" t="s">
        <v>5243</v>
      </c>
      <c r="EB151" s="18">
        <v>266625</v>
      </c>
      <c r="EC151" s="18" t="s">
        <v>106</v>
      </c>
      <c r="ED151" s="18" t="s">
        <v>5176</v>
      </c>
      <c r="EE151" s="18" t="s">
        <v>106</v>
      </c>
      <c r="EF151" s="18" t="s">
        <v>106</v>
      </c>
      <c r="EG151" s="18" t="s">
        <v>5148</v>
      </c>
      <c r="EH151" s="18" t="s">
        <v>5203</v>
      </c>
      <c r="EI151" s="18" t="s">
        <v>5204</v>
      </c>
      <c r="EJ151" s="18" t="s">
        <v>5245</v>
      </c>
      <c r="EN151" s="18" t="s">
        <v>113</v>
      </c>
      <c r="EO151" s="18" t="s">
        <v>113</v>
      </c>
      <c r="EP151" s="18" t="s">
        <v>113</v>
      </c>
      <c r="EQ151" s="18" t="s">
        <v>113</v>
      </c>
      <c r="ER151" s="18" t="s">
        <v>5289</v>
      </c>
      <c r="ES151" s="18" t="s">
        <v>5744</v>
      </c>
      <c r="ET151" s="18" t="s">
        <v>5154</v>
      </c>
      <c r="EU151" s="18" t="s">
        <v>5155</v>
      </c>
      <c r="EV151" s="18" t="s">
        <v>5730</v>
      </c>
      <c r="EW151" s="18" t="s">
        <v>5247</v>
      </c>
      <c r="EX151" s="18" t="s">
        <v>5158</v>
      </c>
      <c r="EY151" s="18" t="s">
        <v>5248</v>
      </c>
      <c r="EZ151" s="18" t="s">
        <v>5182</v>
      </c>
      <c r="FA151" s="18" t="s">
        <v>144</v>
      </c>
      <c r="FB151" s="18" t="s">
        <v>5161</v>
      </c>
    </row>
    <row r="152" spans="1:158" ht="10.5" customHeight="1" x14ac:dyDescent="0.2">
      <c r="A152" s="16">
        <v>41</v>
      </c>
      <c r="B152" s="16" t="s">
        <v>1476</v>
      </c>
      <c r="C152" s="16" t="s">
        <v>108</v>
      </c>
      <c r="D152" s="16">
        <v>1829225</v>
      </c>
      <c r="E152" s="16" t="s">
        <v>6660</v>
      </c>
      <c r="F152" s="18" t="s">
        <v>108</v>
      </c>
      <c r="G152" s="18" t="s">
        <v>106</v>
      </c>
      <c r="H152" s="15" t="s">
        <v>5127</v>
      </c>
      <c r="I152" s="18">
        <v>27</v>
      </c>
      <c r="J152" s="18">
        <v>13</v>
      </c>
      <c r="K152" s="18">
        <v>14</v>
      </c>
      <c r="L152" s="18">
        <v>0</v>
      </c>
      <c r="M152" s="18" t="s">
        <v>5771</v>
      </c>
      <c r="N152" s="18">
        <v>25000408</v>
      </c>
      <c r="O152" s="18">
        <v>46116</v>
      </c>
      <c r="T152" s="18" t="s">
        <v>5240</v>
      </c>
      <c r="U152" s="18" t="s">
        <v>5185</v>
      </c>
      <c r="V152" s="18" t="s">
        <v>106</v>
      </c>
      <c r="W152" s="18" t="s">
        <v>5124</v>
      </c>
      <c r="Y152" s="18" t="s">
        <v>5232</v>
      </c>
      <c r="Z152" s="18" t="s">
        <v>106</v>
      </c>
      <c r="AA152" s="18" t="s">
        <v>5267</v>
      </c>
      <c r="AC152" s="18" t="s">
        <v>5127</v>
      </c>
      <c r="AD152" s="18" t="s">
        <v>5127</v>
      </c>
      <c r="AE152" s="18" t="s">
        <v>5127</v>
      </c>
      <c r="AF152" s="18" t="s">
        <v>5127</v>
      </c>
      <c r="AG152" s="18" t="s">
        <v>5127</v>
      </c>
      <c r="AH152" s="18" t="s">
        <v>5127</v>
      </c>
      <c r="AI152" s="18">
        <v>1</v>
      </c>
      <c r="AK152" s="18" t="s">
        <v>5164</v>
      </c>
      <c r="AN152" s="18">
        <v>2558391</v>
      </c>
      <c r="AO152" s="18" t="s">
        <v>5165</v>
      </c>
      <c r="AP152" s="18" t="s">
        <v>5764</v>
      </c>
      <c r="AQ152" s="18" t="s">
        <v>5772</v>
      </c>
      <c r="AR152" s="18" t="s">
        <v>5727</v>
      </c>
      <c r="AT152" s="17">
        <f>(365*D152*0.7)/1000</f>
        <v>467366.98749999999</v>
      </c>
      <c r="AU152" s="17">
        <f t="shared" si="5"/>
        <v>767.51600000000008</v>
      </c>
      <c r="AV152" s="18">
        <f>343766/1000</f>
        <v>343.76600000000002</v>
      </c>
      <c r="AW152" s="18">
        <f>423750/1000</f>
        <v>423.75</v>
      </c>
      <c r="AY152" s="18" t="s">
        <v>5745</v>
      </c>
      <c r="BG152" s="18" t="s">
        <v>5663</v>
      </c>
      <c r="BQ152" s="18">
        <f>1286814/1000</f>
        <v>1286.8140000000001</v>
      </c>
      <c r="BR152" s="18">
        <f>273158/1000</f>
        <v>273.15800000000002</v>
      </c>
      <c r="BS152" s="18">
        <f>161160/1000</f>
        <v>161.16</v>
      </c>
      <c r="BT152" s="18">
        <f>69740/1000</f>
        <v>69.739999999999995</v>
      </c>
      <c r="BU152" s="18">
        <v>0</v>
      </c>
      <c r="BV152" s="18">
        <f t="shared" si="4"/>
        <v>1790.8720000000003</v>
      </c>
      <c r="BW152" s="15">
        <f t="shared" si="6"/>
        <v>1790.8720000000003</v>
      </c>
      <c r="BY152" s="18" t="s">
        <v>5134</v>
      </c>
      <c r="BZ152" s="18" t="s">
        <v>5765</v>
      </c>
      <c r="CD152" s="18" t="s">
        <v>5127</v>
      </c>
      <c r="CE152" s="18" t="s">
        <v>5127</v>
      </c>
      <c r="CF152" s="18" t="s">
        <v>5282</v>
      </c>
      <c r="CG152" s="18" t="s">
        <v>5644</v>
      </c>
      <c r="CH152" s="18" t="s">
        <v>5699</v>
      </c>
      <c r="CI152" s="18" t="s">
        <v>5195</v>
      </c>
      <c r="CJ152" s="18" t="s">
        <v>5636</v>
      </c>
      <c r="CK152" s="18" t="s">
        <v>5341</v>
      </c>
      <c r="CL152" s="18">
        <v>1</v>
      </c>
      <c r="CM152" s="18">
        <v>1</v>
      </c>
      <c r="CN152" s="18">
        <v>0</v>
      </c>
      <c r="CO152" s="18">
        <v>1</v>
      </c>
      <c r="CP152" s="18">
        <v>1</v>
      </c>
      <c r="CQ152" s="18">
        <v>1</v>
      </c>
      <c r="CR152" s="18" t="s">
        <v>5141</v>
      </c>
      <c r="CS152" s="18" t="s">
        <v>5141</v>
      </c>
      <c r="CT152" s="18">
        <v>0</v>
      </c>
      <c r="CU152" s="18">
        <v>2</v>
      </c>
      <c r="CV152" s="18">
        <v>2</v>
      </c>
      <c r="CX152" s="18">
        <v>1</v>
      </c>
      <c r="CY152" s="18">
        <v>0</v>
      </c>
      <c r="CZ152" s="18">
        <v>0</v>
      </c>
      <c r="DA152" s="18">
        <v>0</v>
      </c>
      <c r="DB152" s="18">
        <v>1</v>
      </c>
      <c r="DC152" s="18">
        <v>1</v>
      </c>
      <c r="DD152" s="18">
        <v>1</v>
      </c>
      <c r="DE152" s="18" t="s">
        <v>5141</v>
      </c>
      <c r="DF152" s="18" t="s">
        <v>5141</v>
      </c>
      <c r="DG152" s="18">
        <v>0</v>
      </c>
      <c r="DH152" s="18">
        <v>2</v>
      </c>
      <c r="DI152" s="18">
        <v>2</v>
      </c>
      <c r="DK152" s="18">
        <v>0</v>
      </c>
      <c r="DL152" s="18">
        <v>0</v>
      </c>
      <c r="DM152" s="18" t="s">
        <v>5127</v>
      </c>
      <c r="DN152" s="18" t="s">
        <v>5172</v>
      </c>
      <c r="DO152" s="18" t="s">
        <v>5705</v>
      </c>
      <c r="DP152" s="18" t="s">
        <v>106</v>
      </c>
      <c r="DQ152" s="18" t="s">
        <v>179</v>
      </c>
      <c r="DS152" s="18">
        <v>0</v>
      </c>
      <c r="DT152" s="18">
        <v>1</v>
      </c>
      <c r="DU152" s="18">
        <v>1</v>
      </c>
      <c r="DV152" s="18" t="s">
        <v>5301</v>
      </c>
      <c r="DX152" s="18" t="s">
        <v>5222</v>
      </c>
      <c r="DY152" s="18" t="s">
        <v>106</v>
      </c>
      <c r="DZ152" s="18" t="s">
        <v>106</v>
      </c>
      <c r="EA152" s="18" t="s">
        <v>5586</v>
      </c>
      <c r="EB152" s="18">
        <v>1790872</v>
      </c>
      <c r="EC152" s="18" t="s">
        <v>106</v>
      </c>
      <c r="ED152" s="18" t="s">
        <v>5176</v>
      </c>
      <c r="EE152" s="18" t="s">
        <v>106</v>
      </c>
      <c r="EF152" s="18" t="s">
        <v>106</v>
      </c>
      <c r="EG152" s="18" t="s">
        <v>5404</v>
      </c>
      <c r="EH152" s="18" t="s">
        <v>5203</v>
      </c>
      <c r="EI152" s="18" t="s">
        <v>5204</v>
      </c>
      <c r="EJ152" s="18" t="s">
        <v>5245</v>
      </c>
      <c r="EN152" s="18" t="s">
        <v>106</v>
      </c>
      <c r="EO152" s="18" t="s">
        <v>113</v>
      </c>
      <c r="EP152" s="18" t="s">
        <v>113</v>
      </c>
      <c r="EQ152" s="18" t="s">
        <v>113</v>
      </c>
      <c r="ER152" s="18" t="s">
        <v>5289</v>
      </c>
      <c r="ES152" s="18" t="s">
        <v>5773</v>
      </c>
      <c r="ET152" s="18" t="s">
        <v>5154</v>
      </c>
      <c r="EU152" s="18" t="s">
        <v>5155</v>
      </c>
      <c r="EV152" s="18" t="s">
        <v>5730</v>
      </c>
      <c r="EW152" s="18" t="s">
        <v>5247</v>
      </c>
      <c r="EX152" s="18" t="s">
        <v>5158</v>
      </c>
      <c r="EY152" s="18" t="s">
        <v>5248</v>
      </c>
      <c r="EZ152" s="18" t="s">
        <v>5182</v>
      </c>
      <c r="FA152" s="18" t="s">
        <v>144</v>
      </c>
      <c r="FB152" s="18" t="s">
        <v>5161</v>
      </c>
    </row>
    <row r="153" spans="1:158" ht="10.5" customHeight="1" x14ac:dyDescent="0.2">
      <c r="A153" s="16">
        <v>41</v>
      </c>
      <c r="B153" s="16" t="s">
        <v>1476</v>
      </c>
      <c r="C153" s="16" t="s">
        <v>108</v>
      </c>
      <c r="D153" s="16">
        <v>1829225</v>
      </c>
      <c r="E153" s="16" t="s">
        <v>6660</v>
      </c>
      <c r="F153" s="18" t="s">
        <v>108</v>
      </c>
      <c r="G153" s="18" t="s">
        <v>106</v>
      </c>
      <c r="H153" s="15" t="s">
        <v>5127</v>
      </c>
      <c r="I153" s="18">
        <v>13</v>
      </c>
      <c r="J153" s="18">
        <v>6</v>
      </c>
      <c r="K153" s="18">
        <v>7</v>
      </c>
      <c r="L153" s="18">
        <v>0</v>
      </c>
      <c r="M153" s="18" t="s">
        <v>5121</v>
      </c>
      <c r="N153" s="18">
        <v>23004416</v>
      </c>
      <c r="O153" s="18">
        <v>46030</v>
      </c>
      <c r="T153" s="18" t="s">
        <v>5240</v>
      </c>
      <c r="U153" s="18" t="s">
        <v>5185</v>
      </c>
      <c r="V153" s="18" t="s">
        <v>106</v>
      </c>
      <c r="W153" s="18" t="s">
        <v>5124</v>
      </c>
      <c r="Y153" s="18" t="s">
        <v>5232</v>
      </c>
      <c r="Z153" s="18" t="s">
        <v>106</v>
      </c>
      <c r="AA153" s="18" t="s">
        <v>5267</v>
      </c>
      <c r="AC153" s="18" t="s">
        <v>5127</v>
      </c>
      <c r="AD153" s="18" t="s">
        <v>5127</v>
      </c>
      <c r="AE153" s="18" t="s">
        <v>5127</v>
      </c>
      <c r="AF153" s="18" t="s">
        <v>111</v>
      </c>
      <c r="AG153" s="18" t="s">
        <v>5127</v>
      </c>
      <c r="AH153" s="18" t="s">
        <v>111</v>
      </c>
      <c r="AI153" s="18">
        <v>0</v>
      </c>
      <c r="AK153" s="18" t="s">
        <v>5164</v>
      </c>
      <c r="AN153" s="18">
        <v>158151</v>
      </c>
      <c r="AO153" s="18" t="s">
        <v>5129</v>
      </c>
      <c r="AP153" s="18" t="s">
        <v>5774</v>
      </c>
      <c r="AQ153" s="18" t="s">
        <v>5393</v>
      </c>
      <c r="AR153" s="18" t="s">
        <v>5727</v>
      </c>
      <c r="AT153" s="17">
        <f>(365*D153*0.7)/1000</f>
        <v>467366.98749999999</v>
      </c>
      <c r="AU153" s="17">
        <f t="shared" si="5"/>
        <v>47.445</v>
      </c>
      <c r="AV153" s="18">
        <f>18795/1000</f>
        <v>18.795000000000002</v>
      </c>
      <c r="AW153" s="18">
        <f>28650/1000</f>
        <v>28.65</v>
      </c>
      <c r="AY153" s="18" t="s">
        <v>5728</v>
      </c>
      <c r="BG153" s="18" t="s">
        <v>5663</v>
      </c>
      <c r="BQ153" s="18">
        <f>72418/1000</f>
        <v>72.418000000000006</v>
      </c>
      <c r="BR153" s="18">
        <f>28284/1000</f>
        <v>28.283999999999999</v>
      </c>
      <c r="BS153" s="18">
        <f>1000/1000</f>
        <v>1</v>
      </c>
      <c r="BT153" s="18">
        <f>9004/1000</f>
        <v>9.0039999999999996</v>
      </c>
      <c r="BU153" s="18">
        <v>0</v>
      </c>
      <c r="BV153" s="18">
        <f t="shared" si="4"/>
        <v>110.706</v>
      </c>
      <c r="BW153" s="15">
        <f t="shared" si="6"/>
        <v>110.706</v>
      </c>
      <c r="BY153" s="18" t="s">
        <v>5134</v>
      </c>
      <c r="BZ153" s="18" t="s">
        <v>5688</v>
      </c>
      <c r="CD153" s="18" t="s">
        <v>5127</v>
      </c>
      <c r="CE153" s="18" t="s">
        <v>5127</v>
      </c>
      <c r="CF153" s="18" t="s">
        <v>5135</v>
      </c>
      <c r="CG153" s="18" t="s">
        <v>5550</v>
      </c>
      <c r="CH153" s="18" t="s">
        <v>5556</v>
      </c>
      <c r="CI153" s="18" t="s">
        <v>5195</v>
      </c>
      <c r="CJ153" s="18" t="s">
        <v>5196</v>
      </c>
      <c r="CK153" s="18" t="s">
        <v>5341</v>
      </c>
      <c r="CL153" s="18">
        <v>1</v>
      </c>
      <c r="CM153" s="18">
        <v>0</v>
      </c>
      <c r="CN153" s="18">
        <v>0</v>
      </c>
      <c r="CO153" s="18">
        <v>1</v>
      </c>
      <c r="CP153" s="18">
        <v>0</v>
      </c>
      <c r="CQ153" s="18">
        <v>1</v>
      </c>
      <c r="CR153" s="18" t="s">
        <v>5141</v>
      </c>
      <c r="CS153" s="18" t="s">
        <v>5141</v>
      </c>
      <c r="CT153" s="18">
        <v>0</v>
      </c>
      <c r="CU153" s="18">
        <v>1</v>
      </c>
      <c r="CV153" s="18">
        <v>1</v>
      </c>
      <c r="CX153" s="18">
        <v>1</v>
      </c>
      <c r="CY153" s="18">
        <v>1</v>
      </c>
      <c r="CZ153" s="18">
        <v>0</v>
      </c>
      <c r="DA153" s="18">
        <v>1</v>
      </c>
      <c r="DB153" s="18">
        <v>1</v>
      </c>
      <c r="DC153" s="18">
        <v>1</v>
      </c>
      <c r="DD153" s="18">
        <v>1</v>
      </c>
      <c r="DE153" s="18" t="s">
        <v>5141</v>
      </c>
      <c r="DF153" s="18" t="s">
        <v>5141</v>
      </c>
      <c r="DG153" s="18">
        <v>0</v>
      </c>
      <c r="DH153" s="18">
        <v>1</v>
      </c>
      <c r="DI153" s="18">
        <v>2</v>
      </c>
      <c r="DK153" s="18">
        <v>0</v>
      </c>
      <c r="DL153" s="18">
        <v>0</v>
      </c>
      <c r="DM153" s="18" t="s">
        <v>5127</v>
      </c>
      <c r="DN153" s="18" t="s">
        <v>5314</v>
      </c>
      <c r="DO153" s="18" t="s">
        <v>5665</v>
      </c>
      <c r="DP153" s="18" t="s">
        <v>113</v>
      </c>
      <c r="DS153" s="18">
        <v>0</v>
      </c>
      <c r="DT153" s="18">
        <v>0</v>
      </c>
      <c r="DU153" s="18">
        <v>1</v>
      </c>
      <c r="DV153" s="18" t="s">
        <v>5342</v>
      </c>
      <c r="DX153" s="18" t="s">
        <v>5222</v>
      </c>
      <c r="DY153" s="18" t="s">
        <v>106</v>
      </c>
      <c r="DZ153" s="18" t="s">
        <v>106</v>
      </c>
      <c r="EA153" s="18" t="s">
        <v>5146</v>
      </c>
      <c r="EB153" s="18">
        <v>110706</v>
      </c>
      <c r="EC153" s="18" t="s">
        <v>106</v>
      </c>
      <c r="ED153" s="18" t="s">
        <v>5176</v>
      </c>
      <c r="EE153" s="18" t="s">
        <v>106</v>
      </c>
      <c r="EF153" s="18" t="s">
        <v>106</v>
      </c>
      <c r="EG153" s="18" t="s">
        <v>5404</v>
      </c>
      <c r="EH153" s="18" t="s">
        <v>5149</v>
      </c>
      <c r="EI153" s="18" t="s">
        <v>5150</v>
      </c>
      <c r="EJ153" s="18" t="s">
        <v>5245</v>
      </c>
      <c r="EN153" s="18" t="s">
        <v>113</v>
      </c>
      <c r="EO153" s="18" t="s">
        <v>113</v>
      </c>
      <c r="EP153" s="18" t="s">
        <v>113</v>
      </c>
      <c r="EQ153" s="18" t="s">
        <v>113</v>
      </c>
      <c r="ER153" s="18" t="s">
        <v>5289</v>
      </c>
      <c r="ES153" s="18" t="s">
        <v>5352</v>
      </c>
      <c r="ET153" s="18" t="s">
        <v>5154</v>
      </c>
      <c r="EU153" s="18" t="s">
        <v>5155</v>
      </c>
      <c r="EV153" s="18" t="s">
        <v>5730</v>
      </c>
      <c r="EW153" s="18" t="s">
        <v>5180</v>
      </c>
      <c r="EX153" s="18" t="s">
        <v>5158</v>
      </c>
      <c r="EY153" s="18" t="s">
        <v>5278</v>
      </c>
      <c r="EZ153" s="18" t="s">
        <v>5182</v>
      </c>
      <c r="FA153" s="18" t="s">
        <v>144</v>
      </c>
      <c r="FB153" s="18" t="s">
        <v>5161</v>
      </c>
    </row>
    <row r="154" spans="1:158" ht="10.5" customHeight="1" x14ac:dyDescent="0.2">
      <c r="A154" s="16">
        <v>41</v>
      </c>
      <c r="B154" s="16" t="s">
        <v>1476</v>
      </c>
      <c r="C154" s="16" t="s">
        <v>108</v>
      </c>
      <c r="D154" s="16">
        <v>1829225</v>
      </c>
      <c r="E154" s="16" t="s">
        <v>6660</v>
      </c>
      <c r="F154" s="18" t="s">
        <v>108</v>
      </c>
      <c r="G154" s="18" t="s">
        <v>106</v>
      </c>
      <c r="H154" s="15" t="s">
        <v>5127</v>
      </c>
      <c r="I154" s="18">
        <v>22</v>
      </c>
      <c r="J154" s="18">
        <v>15</v>
      </c>
      <c r="K154" s="18">
        <v>7</v>
      </c>
      <c r="L154" s="18">
        <v>0</v>
      </c>
      <c r="M154" s="18" t="s">
        <v>5183</v>
      </c>
      <c r="N154" s="18">
        <v>24001448</v>
      </c>
      <c r="O154" s="18">
        <v>46137</v>
      </c>
      <c r="T154" s="18" t="s">
        <v>5240</v>
      </c>
      <c r="U154" s="18" t="s">
        <v>5185</v>
      </c>
      <c r="V154" s="18" t="s">
        <v>106</v>
      </c>
      <c r="W154" s="18" t="s">
        <v>5124</v>
      </c>
      <c r="Y154" s="18" t="s">
        <v>5232</v>
      </c>
      <c r="Z154" s="18" t="s">
        <v>106</v>
      </c>
      <c r="AA154" s="18" t="s">
        <v>5267</v>
      </c>
      <c r="AC154" s="18" t="s">
        <v>5127</v>
      </c>
      <c r="AD154" s="18" t="s">
        <v>5127</v>
      </c>
      <c r="AE154" s="18" t="s">
        <v>5127</v>
      </c>
      <c r="AF154" s="18" t="s">
        <v>5127</v>
      </c>
      <c r="AG154" s="18" t="s">
        <v>5127</v>
      </c>
      <c r="AH154" s="18" t="s">
        <v>5127</v>
      </c>
      <c r="AI154" s="18">
        <v>1</v>
      </c>
      <c r="AK154" s="18" t="s">
        <v>5164</v>
      </c>
      <c r="AN154" s="18">
        <v>269700</v>
      </c>
      <c r="AO154" s="18" t="s">
        <v>5129</v>
      </c>
      <c r="AP154" s="18" t="s">
        <v>5775</v>
      </c>
      <c r="AQ154" s="18" t="s">
        <v>5393</v>
      </c>
      <c r="AR154" s="18" t="s">
        <v>5727</v>
      </c>
      <c r="AT154" s="17">
        <f>(365*D154*0.7)/1000</f>
        <v>467366.98749999999</v>
      </c>
      <c r="AU154" s="17">
        <f t="shared" si="5"/>
        <v>80.907999999999987</v>
      </c>
      <c r="AV154" s="18">
        <f>43108/1000</f>
        <v>43.107999999999997</v>
      </c>
      <c r="AW154" s="18">
        <f>37800/1000</f>
        <v>37.799999999999997</v>
      </c>
      <c r="AY154" s="18" t="s">
        <v>5745</v>
      </c>
      <c r="BG154" s="18" t="s">
        <v>5663</v>
      </c>
      <c r="BQ154" s="18">
        <f>103882/1000</f>
        <v>103.88200000000001</v>
      </c>
      <c r="BR154" s="18">
        <f>42559/1000</f>
        <v>42.558999999999997</v>
      </c>
      <c r="BS154" s="18">
        <f>10646/1000</f>
        <v>10.646000000000001</v>
      </c>
      <c r="BT154" s="18">
        <f>31700/1000</f>
        <v>31.7</v>
      </c>
      <c r="BU154" s="18">
        <v>0</v>
      </c>
      <c r="BV154" s="18">
        <f t="shared" si="4"/>
        <v>188.78699999999998</v>
      </c>
      <c r="BW154" s="15">
        <f t="shared" si="6"/>
        <v>188.78699999999998</v>
      </c>
      <c r="BY154" s="18" t="s">
        <v>5134</v>
      </c>
      <c r="BZ154" s="18" t="s">
        <v>5688</v>
      </c>
      <c r="CD154" s="18" t="s">
        <v>5127</v>
      </c>
      <c r="CE154" s="18" t="s">
        <v>5127</v>
      </c>
      <c r="CF154" s="18" t="s">
        <v>5135</v>
      </c>
      <c r="CG154" s="18" t="s">
        <v>5550</v>
      </c>
      <c r="CH154" s="18" t="s">
        <v>5556</v>
      </c>
      <c r="CI154" s="18" t="s">
        <v>5195</v>
      </c>
      <c r="CJ154" s="18" t="s">
        <v>5196</v>
      </c>
      <c r="CK154" s="18" t="s">
        <v>5341</v>
      </c>
      <c r="CL154" s="18">
        <v>0</v>
      </c>
      <c r="CM154" s="18">
        <v>1</v>
      </c>
      <c r="CN154" s="18">
        <v>0</v>
      </c>
      <c r="CO154" s="18">
        <v>1</v>
      </c>
      <c r="CP154" s="18">
        <v>0</v>
      </c>
      <c r="CQ154" s="18">
        <v>1</v>
      </c>
      <c r="CR154" s="18" t="s">
        <v>5141</v>
      </c>
      <c r="CS154" s="18" t="s">
        <v>5141</v>
      </c>
      <c r="CT154" s="18">
        <v>0</v>
      </c>
      <c r="CU154" s="18">
        <v>1</v>
      </c>
      <c r="CV154" s="18">
        <v>1</v>
      </c>
      <c r="CX154" s="18">
        <v>1</v>
      </c>
      <c r="CY154" s="18">
        <v>1</v>
      </c>
      <c r="CZ154" s="18">
        <v>0</v>
      </c>
      <c r="DA154" s="18">
        <v>1</v>
      </c>
      <c r="DB154" s="18">
        <v>1</v>
      </c>
      <c r="DC154" s="18">
        <v>1</v>
      </c>
      <c r="DD154" s="18">
        <v>1</v>
      </c>
      <c r="DE154" s="18" t="s">
        <v>5141</v>
      </c>
      <c r="DF154" s="18" t="s">
        <v>5141</v>
      </c>
      <c r="DG154" s="18">
        <v>0</v>
      </c>
      <c r="DH154" s="18">
        <v>2</v>
      </c>
      <c r="DI154" s="18">
        <v>2</v>
      </c>
      <c r="DK154" s="18">
        <v>0</v>
      </c>
      <c r="DL154" s="18">
        <v>0</v>
      </c>
      <c r="DM154" s="18" t="s">
        <v>5127</v>
      </c>
      <c r="DN154" s="18" t="s">
        <v>5172</v>
      </c>
      <c r="DO154" s="18" t="s">
        <v>5371</v>
      </c>
      <c r="DP154" s="18" t="s">
        <v>106</v>
      </c>
      <c r="DS154" s="18">
        <v>0</v>
      </c>
      <c r="DT154" s="18">
        <v>1</v>
      </c>
      <c r="DU154" s="18">
        <v>1</v>
      </c>
      <c r="DV154" s="18" t="s">
        <v>5342</v>
      </c>
      <c r="DX154" s="18" t="s">
        <v>5222</v>
      </c>
      <c r="DY154" s="18" t="s">
        <v>106</v>
      </c>
      <c r="DZ154" s="18" t="s">
        <v>106</v>
      </c>
      <c r="EA154" s="18" t="s">
        <v>5146</v>
      </c>
      <c r="EB154" s="18">
        <v>188787</v>
      </c>
      <c r="EC154" s="18" t="s">
        <v>106</v>
      </c>
      <c r="ED154" s="18" t="s">
        <v>5176</v>
      </c>
      <c r="EE154" s="18" t="s">
        <v>106</v>
      </c>
      <c r="EF154" s="18" t="s">
        <v>106</v>
      </c>
      <c r="EG154" s="18" t="s">
        <v>5148</v>
      </c>
      <c r="EH154" s="18" t="s">
        <v>5203</v>
      </c>
      <c r="EI154" s="18" t="s">
        <v>5204</v>
      </c>
      <c r="EJ154" s="18" t="s">
        <v>5245</v>
      </c>
      <c r="EN154" s="18" t="s">
        <v>106</v>
      </c>
      <c r="EO154" s="18" t="s">
        <v>113</v>
      </c>
      <c r="EP154" s="18" t="s">
        <v>113</v>
      </c>
      <c r="EQ154" s="18" t="s">
        <v>113</v>
      </c>
      <c r="ER154" s="18" t="s">
        <v>5289</v>
      </c>
      <c r="ES154" s="18" t="s">
        <v>5744</v>
      </c>
      <c r="ET154" s="18" t="s">
        <v>5154</v>
      </c>
      <c r="EU154" s="18" t="s">
        <v>5155</v>
      </c>
      <c r="EV154" s="18" t="s">
        <v>5730</v>
      </c>
      <c r="EW154" s="18" t="s">
        <v>5180</v>
      </c>
      <c r="EX154" s="18" t="s">
        <v>5158</v>
      </c>
      <c r="EY154" s="18" t="s">
        <v>5181</v>
      </c>
      <c r="EZ154" s="18" t="s">
        <v>5182</v>
      </c>
      <c r="FA154" s="18" t="s">
        <v>144</v>
      </c>
      <c r="FB154" s="18" t="s">
        <v>5161</v>
      </c>
    </row>
    <row r="155" spans="1:158" ht="10.5" customHeight="1" x14ac:dyDescent="0.2">
      <c r="A155" s="16">
        <v>41</v>
      </c>
      <c r="B155" s="16" t="s">
        <v>1476</v>
      </c>
      <c r="C155" s="16" t="s">
        <v>108</v>
      </c>
      <c r="D155" s="16">
        <v>1829225</v>
      </c>
      <c r="E155" s="16" t="s">
        <v>6660</v>
      </c>
      <c r="F155" s="18" t="s">
        <v>108</v>
      </c>
      <c r="G155" s="18" t="s">
        <v>106</v>
      </c>
      <c r="H155" s="15" t="s">
        <v>5127</v>
      </c>
      <c r="I155" s="18">
        <v>17</v>
      </c>
      <c r="J155" s="18">
        <v>7</v>
      </c>
      <c r="K155" s="18">
        <v>10</v>
      </c>
      <c r="L155" s="18">
        <v>0</v>
      </c>
      <c r="M155" s="18" t="s">
        <v>5183</v>
      </c>
      <c r="N155" s="18">
        <v>23003374</v>
      </c>
      <c r="O155" s="18">
        <v>45926</v>
      </c>
      <c r="T155" s="18" t="s">
        <v>5240</v>
      </c>
      <c r="U155" s="18" t="s">
        <v>5185</v>
      </c>
      <c r="V155" s="18" t="s">
        <v>106</v>
      </c>
      <c r="W155" s="18" t="s">
        <v>5124</v>
      </c>
      <c r="Y155" s="18" t="s">
        <v>5232</v>
      </c>
      <c r="Z155" s="18" t="s">
        <v>106</v>
      </c>
      <c r="AA155" s="18" t="s">
        <v>5267</v>
      </c>
      <c r="AC155" s="18" t="s">
        <v>5127</v>
      </c>
      <c r="AD155" s="18" t="s">
        <v>5127</v>
      </c>
      <c r="AE155" s="18" t="s">
        <v>5127</v>
      </c>
      <c r="AF155" s="18" t="s">
        <v>5127</v>
      </c>
      <c r="AG155" s="18" t="s">
        <v>5127</v>
      </c>
      <c r="AH155" s="18" t="s">
        <v>111</v>
      </c>
      <c r="AI155" s="18">
        <v>0</v>
      </c>
      <c r="AK155" s="18" t="s">
        <v>5164</v>
      </c>
      <c r="AN155" s="18">
        <v>574594</v>
      </c>
      <c r="AO155" s="18" t="s">
        <v>5129</v>
      </c>
      <c r="AP155" s="18" t="s">
        <v>5755</v>
      </c>
      <c r="AQ155" s="18" t="s">
        <v>5393</v>
      </c>
      <c r="AR155" s="18" t="s">
        <v>5727</v>
      </c>
      <c r="AT155" s="17">
        <f>(365*D155*0.7)/1000</f>
        <v>467366.98749999999</v>
      </c>
      <c r="AU155" s="17">
        <f t="shared" si="5"/>
        <v>172.37799999999999</v>
      </c>
      <c r="AV155" s="18">
        <f>85778/1000</f>
        <v>85.778000000000006</v>
      </c>
      <c r="AW155" s="18">
        <f>86600/1000</f>
        <v>86.6</v>
      </c>
      <c r="AY155" s="18" t="s">
        <v>5745</v>
      </c>
      <c r="BG155" s="18" t="s">
        <v>5663</v>
      </c>
      <c r="BQ155" s="18">
        <f>175350/1000</f>
        <v>175.35</v>
      </c>
      <c r="BR155" s="18">
        <f>133786/1000</f>
        <v>133.786</v>
      </c>
      <c r="BS155" s="18">
        <f>12860/1000</f>
        <v>12.86</v>
      </c>
      <c r="BT155" s="18">
        <f>80220/1000</f>
        <v>80.22</v>
      </c>
      <c r="BU155" s="18">
        <v>0</v>
      </c>
      <c r="BV155" s="18">
        <f t="shared" si="4"/>
        <v>402.21600000000001</v>
      </c>
      <c r="BW155" s="15">
        <f t="shared" si="6"/>
        <v>402.21600000000001</v>
      </c>
      <c r="BY155" s="18" t="s">
        <v>5134</v>
      </c>
      <c r="BZ155" s="18" t="s">
        <v>5688</v>
      </c>
      <c r="CD155" s="18" t="s">
        <v>5127</v>
      </c>
      <c r="CE155" s="18" t="s">
        <v>5127</v>
      </c>
      <c r="CF155" s="18" t="s">
        <v>5135</v>
      </c>
      <c r="CG155" s="18" t="s">
        <v>5550</v>
      </c>
      <c r="CH155" s="18" t="s">
        <v>5556</v>
      </c>
      <c r="CI155" s="18" t="s">
        <v>5195</v>
      </c>
      <c r="CJ155" s="18" t="s">
        <v>5196</v>
      </c>
      <c r="CK155" s="18" t="s">
        <v>5776</v>
      </c>
      <c r="CL155" s="18">
        <v>0</v>
      </c>
      <c r="CM155" s="18">
        <v>1</v>
      </c>
      <c r="CN155" s="18">
        <v>0</v>
      </c>
      <c r="CO155" s="18">
        <v>1</v>
      </c>
      <c r="CP155" s="18">
        <v>0</v>
      </c>
      <c r="CQ155" s="18">
        <v>0</v>
      </c>
      <c r="CR155" s="18" t="s">
        <v>5141</v>
      </c>
      <c r="CS155" s="18" t="s">
        <v>5141</v>
      </c>
      <c r="CT155" s="18">
        <v>0</v>
      </c>
      <c r="CU155" s="18">
        <v>1</v>
      </c>
      <c r="CV155" s="18">
        <v>0</v>
      </c>
      <c r="CX155" s="18">
        <v>0</v>
      </c>
      <c r="CY155" s="18">
        <v>1</v>
      </c>
      <c r="CZ155" s="18">
        <v>0</v>
      </c>
      <c r="DA155" s="18">
        <v>0</v>
      </c>
      <c r="DB155" s="18">
        <v>1</v>
      </c>
      <c r="DC155" s="18">
        <v>1</v>
      </c>
      <c r="DD155" s="18">
        <v>1</v>
      </c>
      <c r="DE155" s="18" t="s">
        <v>5141</v>
      </c>
      <c r="DF155" s="18" t="s">
        <v>5141</v>
      </c>
      <c r="DG155" s="18">
        <v>0</v>
      </c>
      <c r="DH155" s="18">
        <v>1</v>
      </c>
      <c r="DI155" s="18">
        <v>2</v>
      </c>
      <c r="DK155" s="18">
        <v>0</v>
      </c>
      <c r="DL155" s="18">
        <v>0</v>
      </c>
      <c r="DM155" s="18" t="s">
        <v>5127</v>
      </c>
      <c r="DN155" s="18" t="s">
        <v>5172</v>
      </c>
      <c r="DO155" s="18" t="s">
        <v>5371</v>
      </c>
      <c r="DP155" s="18" t="s">
        <v>113</v>
      </c>
      <c r="DQ155" s="18" t="s">
        <v>5727</v>
      </c>
      <c r="DS155" s="18">
        <v>0</v>
      </c>
      <c r="DT155" s="18">
        <v>0</v>
      </c>
      <c r="DU155" s="18">
        <v>1</v>
      </c>
      <c r="DV155" s="18" t="s">
        <v>5301</v>
      </c>
      <c r="DX155" s="18" t="s">
        <v>5222</v>
      </c>
      <c r="DY155" s="18" t="s">
        <v>106</v>
      </c>
      <c r="DZ155" s="18" t="s">
        <v>106</v>
      </c>
      <c r="EA155" s="18" t="s">
        <v>5146</v>
      </c>
      <c r="EB155" s="18">
        <v>402216</v>
      </c>
      <c r="EC155" s="18" t="s">
        <v>106</v>
      </c>
      <c r="ED155" s="18" t="s">
        <v>5176</v>
      </c>
      <c r="EE155" s="18" t="s">
        <v>106</v>
      </c>
      <c r="EF155" s="18" t="s">
        <v>106</v>
      </c>
      <c r="EG155" s="18" t="s">
        <v>5148</v>
      </c>
      <c r="EH155" s="18" t="s">
        <v>5203</v>
      </c>
      <c r="EI155" s="18" t="s">
        <v>5204</v>
      </c>
      <c r="EJ155" s="18" t="s">
        <v>5245</v>
      </c>
      <c r="EN155" s="18" t="s">
        <v>106</v>
      </c>
      <c r="EO155" s="18" t="s">
        <v>113</v>
      </c>
      <c r="EP155" s="18" t="s">
        <v>113</v>
      </c>
      <c r="EQ155" s="18" t="s">
        <v>113</v>
      </c>
      <c r="ER155" s="18" t="s">
        <v>5289</v>
      </c>
      <c r="ES155" s="18" t="s">
        <v>5769</v>
      </c>
      <c r="ET155" s="18" t="s">
        <v>5154</v>
      </c>
      <c r="EU155" s="18" t="s">
        <v>5155</v>
      </c>
      <c r="EV155" s="18" t="s">
        <v>5730</v>
      </c>
      <c r="EW155" s="18" t="s">
        <v>5180</v>
      </c>
      <c r="EX155" s="18" t="s">
        <v>5158</v>
      </c>
      <c r="EY155" s="18" t="s">
        <v>5181</v>
      </c>
      <c r="EZ155" s="18" t="s">
        <v>5182</v>
      </c>
      <c r="FA155" s="18" t="s">
        <v>144</v>
      </c>
      <c r="FB155" s="18" t="s">
        <v>5161</v>
      </c>
    </row>
    <row r="156" spans="1:158" ht="10.5" customHeight="1" x14ac:dyDescent="0.2">
      <c r="A156" s="16">
        <v>41</v>
      </c>
      <c r="B156" s="16" t="s">
        <v>1476</v>
      </c>
      <c r="C156" s="16" t="s">
        <v>108</v>
      </c>
      <c r="D156" s="16">
        <v>1829225</v>
      </c>
      <c r="E156" s="16" t="s">
        <v>6660</v>
      </c>
      <c r="F156" s="18" t="s">
        <v>108</v>
      </c>
      <c r="G156" s="18" t="s">
        <v>106</v>
      </c>
      <c r="H156" s="15" t="s">
        <v>5127</v>
      </c>
      <c r="I156" s="18">
        <v>13</v>
      </c>
      <c r="J156" s="18">
        <v>8</v>
      </c>
      <c r="K156" s="18">
        <v>5</v>
      </c>
      <c r="L156" s="18">
        <v>0</v>
      </c>
      <c r="M156" s="18" t="s">
        <v>5183</v>
      </c>
      <c r="N156" s="18">
        <v>24003033</v>
      </c>
      <c r="O156" s="18">
        <v>45902</v>
      </c>
      <c r="T156" s="18" t="s">
        <v>5240</v>
      </c>
      <c r="U156" s="18" t="s">
        <v>5185</v>
      </c>
      <c r="V156" s="18" t="s">
        <v>106</v>
      </c>
      <c r="W156" s="18" t="s">
        <v>5124</v>
      </c>
      <c r="Y156" s="18" t="s">
        <v>5232</v>
      </c>
      <c r="Z156" s="18" t="s">
        <v>106</v>
      </c>
      <c r="AA156" s="18" t="s">
        <v>5267</v>
      </c>
      <c r="AC156" s="18" t="s">
        <v>5127</v>
      </c>
      <c r="AD156" s="18" t="s">
        <v>5127</v>
      </c>
      <c r="AE156" s="18" t="s">
        <v>5127</v>
      </c>
      <c r="AF156" s="18" t="s">
        <v>5127</v>
      </c>
      <c r="AG156" s="18" t="s">
        <v>5127</v>
      </c>
      <c r="AH156" s="18" t="s">
        <v>5127</v>
      </c>
      <c r="AI156" s="18">
        <v>0</v>
      </c>
      <c r="AK156" s="18" t="s">
        <v>5164</v>
      </c>
      <c r="AN156" s="18">
        <v>379276</v>
      </c>
      <c r="AO156" s="18" t="s">
        <v>5129</v>
      </c>
      <c r="AP156" s="18" t="s">
        <v>5775</v>
      </c>
      <c r="AQ156" s="18" t="s">
        <v>5393</v>
      </c>
      <c r="AR156" s="18" t="s">
        <v>5727</v>
      </c>
      <c r="AT156" s="17">
        <f>(365*D156*0.7)/1000</f>
        <v>467366.98749999999</v>
      </c>
      <c r="AU156" s="17">
        <f t="shared" si="5"/>
        <v>113.783</v>
      </c>
      <c r="AV156" s="18">
        <f>70890/1000</f>
        <v>70.89</v>
      </c>
      <c r="AW156" s="18">
        <f>42893/1000</f>
        <v>42.893000000000001</v>
      </c>
      <c r="AY156" s="18" t="s">
        <v>5728</v>
      </c>
      <c r="BG156" s="18" t="s">
        <v>5663</v>
      </c>
      <c r="BQ156" s="18">
        <f>112696/1000</f>
        <v>112.696</v>
      </c>
      <c r="BR156" s="18">
        <f>59337/1000</f>
        <v>59.337000000000003</v>
      </c>
      <c r="BS156" s="18">
        <f>14660/1000</f>
        <v>14.66</v>
      </c>
      <c r="BT156" s="18">
        <f>78800/1000</f>
        <v>78.8</v>
      </c>
      <c r="BU156" s="18">
        <v>0</v>
      </c>
      <c r="BV156" s="18">
        <f t="shared" si="4"/>
        <v>265.49299999999999</v>
      </c>
      <c r="BW156" s="15">
        <f t="shared" si="6"/>
        <v>265.49299999999999</v>
      </c>
      <c r="BY156" s="18" t="s">
        <v>5134</v>
      </c>
      <c r="BZ156" s="18" t="s">
        <v>5688</v>
      </c>
      <c r="CD156" s="18" t="s">
        <v>5127</v>
      </c>
      <c r="CE156" s="18" t="s">
        <v>5127</v>
      </c>
      <c r="CF156" s="18" t="s">
        <v>5135</v>
      </c>
      <c r="CG156" s="18" t="s">
        <v>5193</v>
      </c>
      <c r="CH156" s="18" t="s">
        <v>5556</v>
      </c>
      <c r="CI156" s="18" t="s">
        <v>5195</v>
      </c>
      <c r="CJ156" s="18" t="s">
        <v>5196</v>
      </c>
      <c r="CK156" s="18" t="s">
        <v>5341</v>
      </c>
      <c r="CL156" s="18">
        <v>0</v>
      </c>
      <c r="CM156" s="18">
        <v>1</v>
      </c>
      <c r="CN156" s="18">
        <v>0</v>
      </c>
      <c r="CO156" s="18">
        <v>1</v>
      </c>
      <c r="CP156" s="18">
        <v>0</v>
      </c>
      <c r="CQ156" s="18">
        <v>0</v>
      </c>
      <c r="CR156" s="18" t="s">
        <v>5141</v>
      </c>
      <c r="CS156" s="18" t="s">
        <v>5141</v>
      </c>
      <c r="CT156" s="18">
        <v>0</v>
      </c>
      <c r="CU156" s="18">
        <v>1</v>
      </c>
      <c r="CV156" s="18">
        <v>1</v>
      </c>
      <c r="CX156" s="18">
        <v>0</v>
      </c>
      <c r="CY156" s="18">
        <v>1</v>
      </c>
      <c r="CZ156" s="18">
        <v>0</v>
      </c>
      <c r="DA156" s="18">
        <v>0</v>
      </c>
      <c r="DB156" s="18">
        <v>1</v>
      </c>
      <c r="DC156" s="18">
        <v>1</v>
      </c>
      <c r="DD156" s="18">
        <v>1</v>
      </c>
      <c r="DE156" s="18" t="s">
        <v>5141</v>
      </c>
      <c r="DF156" s="18" t="s">
        <v>5141</v>
      </c>
      <c r="DG156" s="18">
        <v>0</v>
      </c>
      <c r="DH156" s="18">
        <v>1</v>
      </c>
      <c r="DI156" s="18">
        <v>2</v>
      </c>
      <c r="DK156" s="18">
        <v>0</v>
      </c>
      <c r="DL156" s="18">
        <v>0</v>
      </c>
      <c r="DM156" s="18" t="s">
        <v>5127</v>
      </c>
      <c r="DN156" s="18" t="s">
        <v>5172</v>
      </c>
      <c r="DO156" s="18" t="s">
        <v>5371</v>
      </c>
      <c r="DP156" s="18" t="s">
        <v>113</v>
      </c>
      <c r="DS156" s="18">
        <v>0</v>
      </c>
      <c r="DT156" s="18">
        <v>0</v>
      </c>
      <c r="DU156" s="18">
        <v>1</v>
      </c>
      <c r="DV156" s="18" t="s">
        <v>5342</v>
      </c>
      <c r="DX156" s="18" t="s">
        <v>5222</v>
      </c>
      <c r="DY156" s="18" t="s">
        <v>106</v>
      </c>
      <c r="DZ156" s="18" t="s">
        <v>106</v>
      </c>
      <c r="EA156" s="18" t="s">
        <v>5146</v>
      </c>
      <c r="EB156" s="18">
        <v>265493</v>
      </c>
      <c r="EC156" s="18" t="s">
        <v>106</v>
      </c>
      <c r="ED156" s="18" t="s">
        <v>5176</v>
      </c>
      <c r="EE156" s="18" t="s">
        <v>106</v>
      </c>
      <c r="EF156" s="18" t="s">
        <v>106</v>
      </c>
      <c r="EG156" s="18" t="s">
        <v>5404</v>
      </c>
      <c r="EH156" s="18" t="s">
        <v>5203</v>
      </c>
      <c r="EI156" s="18" t="s">
        <v>5204</v>
      </c>
      <c r="EJ156" s="18" t="s">
        <v>5245</v>
      </c>
      <c r="EN156" s="18" t="s">
        <v>113</v>
      </c>
      <c r="EO156" s="18" t="s">
        <v>113</v>
      </c>
      <c r="EP156" s="18" t="s">
        <v>113</v>
      </c>
      <c r="EQ156" s="18" t="s">
        <v>113</v>
      </c>
      <c r="ER156" s="18" t="s">
        <v>5328</v>
      </c>
      <c r="ES156" s="18" t="s">
        <v>5378</v>
      </c>
      <c r="ET156" s="18" t="s">
        <v>5154</v>
      </c>
      <c r="EU156" s="18" t="s">
        <v>5155</v>
      </c>
      <c r="EV156" s="18" t="s">
        <v>5730</v>
      </c>
      <c r="EW156" s="18" t="s">
        <v>5180</v>
      </c>
      <c r="EX156" s="18" t="s">
        <v>5158</v>
      </c>
      <c r="EY156" s="18" t="s">
        <v>5248</v>
      </c>
      <c r="EZ156" s="18" t="s">
        <v>5182</v>
      </c>
      <c r="FA156" s="18" t="s">
        <v>144</v>
      </c>
      <c r="FB156" s="18" t="s">
        <v>5161</v>
      </c>
    </row>
    <row r="157" spans="1:158" ht="10.5" customHeight="1" x14ac:dyDescent="0.2">
      <c r="A157" s="16">
        <v>41</v>
      </c>
      <c r="B157" s="16" t="s">
        <v>1476</v>
      </c>
      <c r="C157" s="16" t="s">
        <v>108</v>
      </c>
      <c r="D157" s="16">
        <v>1829225</v>
      </c>
      <c r="E157" s="16" t="s">
        <v>6660</v>
      </c>
      <c r="F157" s="18" t="s">
        <v>108</v>
      </c>
      <c r="G157" s="18" t="s">
        <v>106</v>
      </c>
      <c r="H157" s="15" t="s">
        <v>5127</v>
      </c>
      <c r="I157" s="18">
        <v>13</v>
      </c>
      <c r="J157" s="18">
        <v>7</v>
      </c>
      <c r="K157" s="18">
        <v>6</v>
      </c>
      <c r="L157" s="18">
        <v>0</v>
      </c>
      <c r="M157" s="18" t="s">
        <v>5183</v>
      </c>
      <c r="N157" s="18">
        <v>24002291</v>
      </c>
      <c r="O157" s="18">
        <v>45833</v>
      </c>
      <c r="T157" s="18" t="s">
        <v>5240</v>
      </c>
      <c r="U157" s="18" t="s">
        <v>5185</v>
      </c>
      <c r="V157" s="18" t="s">
        <v>106</v>
      </c>
      <c r="W157" s="18" t="s">
        <v>5124</v>
      </c>
      <c r="Y157" s="18" t="s">
        <v>5232</v>
      </c>
      <c r="Z157" s="18" t="s">
        <v>106</v>
      </c>
      <c r="AA157" s="18" t="s">
        <v>5267</v>
      </c>
      <c r="AB157" s="18" t="s">
        <v>179</v>
      </c>
      <c r="AC157" s="18" t="s">
        <v>5127</v>
      </c>
      <c r="AD157" s="18" t="s">
        <v>5127</v>
      </c>
      <c r="AE157" s="18" t="s">
        <v>5127</v>
      </c>
      <c r="AF157" s="18" t="s">
        <v>5127</v>
      </c>
      <c r="AG157" s="18" t="s">
        <v>5127</v>
      </c>
      <c r="AH157" s="18" t="s">
        <v>5127</v>
      </c>
      <c r="AI157" s="18">
        <v>1</v>
      </c>
      <c r="AK157" s="18" t="s">
        <v>5164</v>
      </c>
      <c r="AN157" s="18">
        <v>164912</v>
      </c>
      <c r="AO157" s="18" t="s">
        <v>5165</v>
      </c>
      <c r="AP157" s="18" t="s">
        <v>5777</v>
      </c>
      <c r="AQ157" s="18" t="s">
        <v>5311</v>
      </c>
      <c r="AR157" s="18" t="s">
        <v>5727</v>
      </c>
      <c r="AT157" s="17">
        <f>(365*D157*0.7)/1000</f>
        <v>467366.98749999999</v>
      </c>
      <c r="AU157" s="17">
        <f t="shared" si="5"/>
        <v>49.472999999999999</v>
      </c>
      <c r="AV157" s="18">
        <f>36743/1000</f>
        <v>36.743000000000002</v>
      </c>
      <c r="AW157" s="18">
        <f>12730/1000</f>
        <v>12.73</v>
      </c>
      <c r="AY157" s="18" t="s">
        <v>5728</v>
      </c>
      <c r="BG157" s="18" t="s">
        <v>5663</v>
      </c>
      <c r="BQ157" s="18">
        <f>42350/1000</f>
        <v>42.35</v>
      </c>
      <c r="BR157" s="18">
        <f>34757/1000</f>
        <v>34.756999999999998</v>
      </c>
      <c r="BS157" s="18">
        <f>6891/1000</f>
        <v>6.891</v>
      </c>
      <c r="BT157" s="18">
        <f>31440/1000</f>
        <v>31.44</v>
      </c>
      <c r="BU157" s="18">
        <v>0</v>
      </c>
      <c r="BV157" s="18">
        <f t="shared" si="4"/>
        <v>115.438</v>
      </c>
      <c r="BW157" s="15">
        <f t="shared" si="6"/>
        <v>115.438</v>
      </c>
      <c r="BY157" s="18" t="s">
        <v>5134</v>
      </c>
      <c r="BZ157" s="18" t="s">
        <v>5768</v>
      </c>
      <c r="CD157" s="18" t="s">
        <v>5127</v>
      </c>
      <c r="CE157" s="18" t="s">
        <v>5127</v>
      </c>
      <c r="CF157" s="18" t="s">
        <v>5135</v>
      </c>
      <c r="CG157" s="18" t="s">
        <v>5193</v>
      </c>
      <c r="CH157" s="18" t="s">
        <v>5556</v>
      </c>
      <c r="CI157" s="18" t="s">
        <v>5195</v>
      </c>
      <c r="CJ157" s="18" t="s">
        <v>5196</v>
      </c>
      <c r="CK157" s="18" t="s">
        <v>5341</v>
      </c>
      <c r="CL157" s="18">
        <v>1</v>
      </c>
      <c r="CM157" s="18">
        <v>0</v>
      </c>
      <c r="CN157" s="18">
        <v>0</v>
      </c>
      <c r="CO157" s="18">
        <v>1</v>
      </c>
      <c r="CP157" s="18">
        <v>1</v>
      </c>
      <c r="CQ157" s="18">
        <v>1</v>
      </c>
      <c r="CR157" s="18" t="s">
        <v>5141</v>
      </c>
      <c r="CS157" s="18" t="s">
        <v>5141</v>
      </c>
      <c r="CT157" s="18">
        <v>0</v>
      </c>
      <c r="CU157" s="18">
        <v>1</v>
      </c>
      <c r="CV157" s="18">
        <v>1</v>
      </c>
      <c r="CX157" s="18">
        <v>1</v>
      </c>
      <c r="CY157" s="18">
        <v>1</v>
      </c>
      <c r="CZ157" s="18">
        <v>1</v>
      </c>
      <c r="DA157" s="18">
        <v>1</v>
      </c>
      <c r="DB157" s="18">
        <v>1</v>
      </c>
      <c r="DC157" s="18">
        <v>1</v>
      </c>
      <c r="DD157" s="18">
        <v>1</v>
      </c>
      <c r="DE157" s="18" t="s">
        <v>5141</v>
      </c>
      <c r="DF157" s="18" t="s">
        <v>5141</v>
      </c>
      <c r="DG157" s="18">
        <v>1</v>
      </c>
      <c r="DH157" s="18">
        <v>2</v>
      </c>
      <c r="DI157" s="18">
        <v>3</v>
      </c>
      <c r="DK157" s="18">
        <v>0</v>
      </c>
      <c r="DL157" s="18">
        <v>0</v>
      </c>
      <c r="DM157" s="18" t="s">
        <v>5127</v>
      </c>
      <c r="DN157" s="18" t="s">
        <v>5172</v>
      </c>
      <c r="DO157" s="18" t="s">
        <v>5371</v>
      </c>
      <c r="DP157" s="18" t="s">
        <v>113</v>
      </c>
      <c r="DS157" s="18">
        <v>0</v>
      </c>
      <c r="DT157" s="18">
        <v>1</v>
      </c>
      <c r="DU157" s="18">
        <v>1</v>
      </c>
      <c r="DV157" s="18" t="s">
        <v>5342</v>
      </c>
      <c r="DX157" s="18" t="s">
        <v>5222</v>
      </c>
      <c r="DY157" s="18" t="s">
        <v>106</v>
      </c>
      <c r="DZ157" s="18" t="s">
        <v>106</v>
      </c>
      <c r="EA157" s="18" t="s">
        <v>5243</v>
      </c>
      <c r="EB157" s="18">
        <v>115438</v>
      </c>
      <c r="EC157" s="18" t="s">
        <v>106</v>
      </c>
      <c r="ED157" s="18" t="s">
        <v>5176</v>
      </c>
      <c r="EE157" s="18" t="s">
        <v>106</v>
      </c>
      <c r="EF157" s="18" t="s">
        <v>106</v>
      </c>
      <c r="EG157" s="18" t="s">
        <v>5674</v>
      </c>
      <c r="EH157" s="18" t="s">
        <v>5203</v>
      </c>
      <c r="EI157" s="18" t="s">
        <v>5204</v>
      </c>
      <c r="EJ157" s="18" t="s">
        <v>5245</v>
      </c>
      <c r="EN157" s="18" t="s">
        <v>113</v>
      </c>
      <c r="EO157" s="18" t="s">
        <v>113</v>
      </c>
      <c r="EP157" s="18" t="s">
        <v>113</v>
      </c>
      <c r="EQ157" s="18" t="s">
        <v>113</v>
      </c>
      <c r="ER157" s="18" t="s">
        <v>5289</v>
      </c>
      <c r="ES157" s="18" t="s">
        <v>5352</v>
      </c>
      <c r="ET157" s="18" t="s">
        <v>5154</v>
      </c>
      <c r="EU157" s="18" t="s">
        <v>5318</v>
      </c>
      <c r="EV157" s="18" t="s">
        <v>5730</v>
      </c>
      <c r="EW157" s="18" t="s">
        <v>5180</v>
      </c>
      <c r="EX157" s="18" t="s">
        <v>5158</v>
      </c>
      <c r="EY157" s="18" t="s">
        <v>5181</v>
      </c>
      <c r="EZ157" s="18" t="s">
        <v>5182</v>
      </c>
      <c r="FA157" s="18" t="s">
        <v>144</v>
      </c>
      <c r="FB157" s="18" t="s">
        <v>5161</v>
      </c>
    </row>
    <row r="158" spans="1:158" ht="10.5" customHeight="1" x14ac:dyDescent="0.2">
      <c r="A158" s="16">
        <v>41</v>
      </c>
      <c r="B158" s="16" t="s">
        <v>1476</v>
      </c>
      <c r="C158" s="16" t="s">
        <v>108</v>
      </c>
      <c r="D158" s="16">
        <v>1829225</v>
      </c>
      <c r="E158" s="16" t="s">
        <v>6660</v>
      </c>
      <c r="F158" s="18" t="s">
        <v>108</v>
      </c>
      <c r="G158" s="18" t="s">
        <v>106</v>
      </c>
      <c r="H158" s="15" t="s">
        <v>5127</v>
      </c>
      <c r="I158" s="18">
        <v>15</v>
      </c>
      <c r="J158" s="18">
        <v>8</v>
      </c>
      <c r="K158" s="18">
        <v>7</v>
      </c>
      <c r="L158" s="18">
        <v>0</v>
      </c>
      <c r="M158" s="18" t="s">
        <v>5183</v>
      </c>
      <c r="N158" s="18">
        <v>24000466</v>
      </c>
      <c r="O158" s="18">
        <v>46080</v>
      </c>
      <c r="T158" s="18" t="s">
        <v>5240</v>
      </c>
      <c r="U158" s="18" t="s">
        <v>5185</v>
      </c>
      <c r="V158" s="18" t="s">
        <v>106</v>
      </c>
      <c r="W158" s="18" t="s">
        <v>5124</v>
      </c>
      <c r="Y158" s="18" t="s">
        <v>5232</v>
      </c>
      <c r="Z158" s="18" t="s">
        <v>106</v>
      </c>
      <c r="AA158" s="18" t="s">
        <v>5267</v>
      </c>
      <c r="AC158" s="18" t="s">
        <v>5127</v>
      </c>
      <c r="AD158" s="18" t="s">
        <v>5127</v>
      </c>
      <c r="AE158" s="18" t="s">
        <v>5127</v>
      </c>
      <c r="AF158" s="18" t="s">
        <v>5127</v>
      </c>
      <c r="AG158" s="18" t="s">
        <v>5127</v>
      </c>
      <c r="AH158" s="18" t="s">
        <v>5127</v>
      </c>
      <c r="AI158" s="18">
        <v>1</v>
      </c>
      <c r="AK158" s="18" t="s">
        <v>5164</v>
      </c>
      <c r="AN158" s="18">
        <v>289075</v>
      </c>
      <c r="AO158" s="18" t="s">
        <v>5165</v>
      </c>
      <c r="AP158" s="18" t="s">
        <v>5778</v>
      </c>
      <c r="AQ158" s="18" t="s">
        <v>5311</v>
      </c>
      <c r="AR158" s="18" t="s">
        <v>5727</v>
      </c>
      <c r="AT158" s="17">
        <f>(365*D158*0.7)/1000</f>
        <v>467366.98749999999</v>
      </c>
      <c r="AU158" s="17">
        <f t="shared" si="5"/>
        <v>86.722999999999999</v>
      </c>
      <c r="AV158" s="18">
        <f>67023/1000</f>
        <v>67.022999999999996</v>
      </c>
      <c r="AW158" s="18">
        <f>19700/1000</f>
        <v>19.7</v>
      </c>
      <c r="AY158" s="18" t="s">
        <v>5745</v>
      </c>
      <c r="BG158" s="18" t="s">
        <v>5663</v>
      </c>
      <c r="BQ158" s="18">
        <f>93229/1000</f>
        <v>93.228999999999999</v>
      </c>
      <c r="BR158" s="18">
        <f>37970/1000</f>
        <v>37.97</v>
      </c>
      <c r="BS158" s="18">
        <f>9830/1000</f>
        <v>9.83</v>
      </c>
      <c r="BT158" s="18">
        <f>61323/1000</f>
        <v>61.323</v>
      </c>
      <c r="BU158" s="18">
        <v>0</v>
      </c>
      <c r="BV158" s="18">
        <f t="shared" si="4"/>
        <v>202.35200000000003</v>
      </c>
      <c r="BW158" s="15">
        <f t="shared" si="6"/>
        <v>202.35200000000003</v>
      </c>
      <c r="BY158" s="18" t="s">
        <v>5134</v>
      </c>
      <c r="BZ158" s="18" t="s">
        <v>5765</v>
      </c>
      <c r="CD158" s="18" t="s">
        <v>5127</v>
      </c>
      <c r="CE158" s="18" t="s">
        <v>5127</v>
      </c>
      <c r="CF158" s="18" t="s">
        <v>5135</v>
      </c>
      <c r="CG158" s="18" t="s">
        <v>5550</v>
      </c>
      <c r="CH158" s="18" t="s">
        <v>5556</v>
      </c>
      <c r="CI158" s="18" t="s">
        <v>5195</v>
      </c>
      <c r="CJ158" s="18" t="s">
        <v>5196</v>
      </c>
      <c r="CK158" s="18" t="s">
        <v>5341</v>
      </c>
      <c r="CL158" s="18">
        <v>0</v>
      </c>
      <c r="CM158" s="18">
        <v>1</v>
      </c>
      <c r="CN158" s="18">
        <v>0</v>
      </c>
      <c r="CO158" s="18">
        <v>1</v>
      </c>
      <c r="CP158" s="18">
        <v>0</v>
      </c>
      <c r="CQ158" s="18">
        <v>0</v>
      </c>
      <c r="CR158" s="18" t="s">
        <v>5141</v>
      </c>
      <c r="CS158" s="18" t="s">
        <v>5141</v>
      </c>
      <c r="CT158" s="18">
        <v>1</v>
      </c>
      <c r="CU158" s="18">
        <v>1</v>
      </c>
      <c r="CV158" s="18">
        <v>2</v>
      </c>
      <c r="CX158" s="18">
        <v>1</v>
      </c>
      <c r="CY158" s="18">
        <v>0</v>
      </c>
      <c r="CZ158" s="18">
        <v>1</v>
      </c>
      <c r="DA158" s="18">
        <v>0</v>
      </c>
      <c r="DB158" s="18">
        <v>1</v>
      </c>
      <c r="DC158" s="18">
        <v>1</v>
      </c>
      <c r="DD158" s="18">
        <v>1</v>
      </c>
      <c r="DE158" s="18" t="s">
        <v>5141</v>
      </c>
      <c r="DF158" s="18" t="s">
        <v>5141</v>
      </c>
      <c r="DG158" s="18">
        <v>0</v>
      </c>
      <c r="DH158" s="18">
        <v>3</v>
      </c>
      <c r="DI158" s="18">
        <v>3</v>
      </c>
      <c r="DK158" s="18">
        <v>0</v>
      </c>
      <c r="DL158" s="18">
        <v>0</v>
      </c>
      <c r="DM158" s="18" t="s">
        <v>5127</v>
      </c>
      <c r="DN158" s="18" t="s">
        <v>5172</v>
      </c>
      <c r="DO158" s="18" t="s">
        <v>5371</v>
      </c>
      <c r="DP158" s="18" t="s">
        <v>113</v>
      </c>
      <c r="DS158" s="18">
        <v>0</v>
      </c>
      <c r="DT158" s="18">
        <v>1</v>
      </c>
      <c r="DU158" s="18">
        <v>1</v>
      </c>
      <c r="DV158" s="18" t="s">
        <v>5342</v>
      </c>
      <c r="DX158" s="18" t="s">
        <v>5222</v>
      </c>
      <c r="DY158" s="18" t="s">
        <v>106</v>
      </c>
      <c r="DZ158" s="18" t="s">
        <v>106</v>
      </c>
      <c r="EA158" s="18" t="s">
        <v>5175</v>
      </c>
      <c r="EB158" s="18">
        <v>202352</v>
      </c>
      <c r="EC158" s="18" t="s">
        <v>106</v>
      </c>
      <c r="ED158" s="18" t="s">
        <v>5176</v>
      </c>
      <c r="EE158" s="18" t="s">
        <v>106</v>
      </c>
      <c r="EF158" s="18" t="s">
        <v>106</v>
      </c>
      <c r="EG158" s="18" t="s">
        <v>5779</v>
      </c>
      <c r="EH158" s="18" t="s">
        <v>5203</v>
      </c>
      <c r="EI158" s="18" t="s">
        <v>5204</v>
      </c>
      <c r="EJ158" s="18" t="s">
        <v>5245</v>
      </c>
      <c r="EN158" s="18" t="s">
        <v>113</v>
      </c>
      <c r="EO158" s="18" t="s">
        <v>113</v>
      </c>
      <c r="EP158" s="18" t="s">
        <v>113</v>
      </c>
      <c r="EQ158" s="18" t="s">
        <v>113</v>
      </c>
      <c r="ER158" s="18" t="s">
        <v>5289</v>
      </c>
      <c r="ES158" s="18" t="s">
        <v>5447</v>
      </c>
      <c r="ET158" s="18" t="s">
        <v>5154</v>
      </c>
      <c r="EU158" s="18" t="s">
        <v>5155</v>
      </c>
      <c r="EV158" s="18" t="s">
        <v>5730</v>
      </c>
      <c r="EW158" s="18" t="s">
        <v>5180</v>
      </c>
      <c r="EX158" s="18" t="s">
        <v>5158</v>
      </c>
      <c r="EY158" s="18" t="s">
        <v>5181</v>
      </c>
      <c r="EZ158" s="18" t="s">
        <v>5182</v>
      </c>
      <c r="FA158" s="18" t="s">
        <v>144</v>
      </c>
      <c r="FB158" s="18" t="s">
        <v>5161</v>
      </c>
    </row>
    <row r="159" spans="1:158" ht="10.5" customHeight="1" x14ac:dyDescent="0.2">
      <c r="A159" s="16">
        <v>41</v>
      </c>
      <c r="B159" s="16" t="s">
        <v>1476</v>
      </c>
      <c r="C159" s="16" t="s">
        <v>108</v>
      </c>
      <c r="D159" s="16">
        <v>1829225</v>
      </c>
      <c r="E159" s="16" t="s">
        <v>6660</v>
      </c>
      <c r="F159" s="18" t="s">
        <v>108</v>
      </c>
      <c r="G159" s="18" t="s">
        <v>106</v>
      </c>
      <c r="H159" s="15" t="s">
        <v>5127</v>
      </c>
      <c r="I159" s="18">
        <v>20</v>
      </c>
      <c r="J159" s="18">
        <v>12</v>
      </c>
      <c r="K159" s="18">
        <v>8</v>
      </c>
      <c r="L159" s="18">
        <v>0</v>
      </c>
      <c r="M159" s="18" t="s">
        <v>5183</v>
      </c>
      <c r="N159" s="18">
        <v>24001404</v>
      </c>
      <c r="O159" s="18">
        <v>46144</v>
      </c>
      <c r="T159" s="18" t="s">
        <v>5240</v>
      </c>
      <c r="U159" s="18" t="s">
        <v>5185</v>
      </c>
      <c r="V159" s="18" t="s">
        <v>106</v>
      </c>
      <c r="W159" s="18" t="s">
        <v>5124</v>
      </c>
      <c r="Y159" s="18" t="s">
        <v>5555</v>
      </c>
      <c r="Z159" s="18" t="s">
        <v>106</v>
      </c>
      <c r="AA159" s="18" t="s">
        <v>5267</v>
      </c>
      <c r="AC159" s="18" t="s">
        <v>5127</v>
      </c>
      <c r="AD159" s="18" t="s">
        <v>5127</v>
      </c>
      <c r="AE159" s="18" t="s">
        <v>5127</v>
      </c>
      <c r="AF159" s="18" t="s">
        <v>5127</v>
      </c>
      <c r="AG159" s="18" t="s">
        <v>5127</v>
      </c>
      <c r="AH159" s="18" t="s">
        <v>5127</v>
      </c>
      <c r="AI159" s="18">
        <v>0</v>
      </c>
      <c r="AK159" s="18" t="s">
        <v>5164</v>
      </c>
      <c r="AN159" s="18">
        <v>438713</v>
      </c>
      <c r="AO159" s="18" t="s">
        <v>5129</v>
      </c>
      <c r="AP159" s="18" t="s">
        <v>5780</v>
      </c>
      <c r="AQ159" s="18" t="s">
        <v>5269</v>
      </c>
      <c r="AR159" s="18" t="s">
        <v>5727</v>
      </c>
      <c r="AT159" s="17">
        <f>(365*D159*0.7)/1000</f>
        <v>467366.98749999999</v>
      </c>
      <c r="AU159" s="17">
        <f t="shared" si="5"/>
        <v>131.62</v>
      </c>
      <c r="AV159" s="18">
        <f>69620/1000</f>
        <v>69.62</v>
      </c>
      <c r="AW159" s="18">
        <f>62000/1000</f>
        <v>62</v>
      </c>
      <c r="AY159" s="18" t="s">
        <v>5728</v>
      </c>
      <c r="BG159" s="18" t="s">
        <v>164</v>
      </c>
      <c r="BQ159" s="18">
        <f>156510/1000</f>
        <v>156.51</v>
      </c>
      <c r="BR159" s="18">
        <f>68620/1000</f>
        <v>68.62</v>
      </c>
      <c r="BS159" s="18">
        <f>18579/1000</f>
        <v>18.579000000000001</v>
      </c>
      <c r="BT159" s="18">
        <f>63390/1000</f>
        <v>63.39</v>
      </c>
      <c r="BU159" s="18">
        <v>0</v>
      </c>
      <c r="BV159" s="18">
        <f t="shared" si="4"/>
        <v>307.09899999999999</v>
      </c>
      <c r="BW159" s="15">
        <f t="shared" si="6"/>
        <v>307.09899999999999</v>
      </c>
      <c r="BY159" s="18" t="s">
        <v>5134</v>
      </c>
      <c r="BZ159" s="18" t="s">
        <v>5688</v>
      </c>
      <c r="CD159" s="18" t="s">
        <v>5127</v>
      </c>
      <c r="CE159" s="18" t="s">
        <v>5127</v>
      </c>
      <c r="CF159" s="18" t="s">
        <v>5135</v>
      </c>
      <c r="CG159" s="18" t="s">
        <v>5193</v>
      </c>
      <c r="CH159" s="18" t="s">
        <v>5194</v>
      </c>
      <c r="CI159" s="18" t="s">
        <v>5195</v>
      </c>
      <c r="CJ159" s="18" t="s">
        <v>5196</v>
      </c>
      <c r="CK159" s="18" t="s">
        <v>5341</v>
      </c>
      <c r="CL159" s="18">
        <v>0</v>
      </c>
      <c r="CM159" s="18">
        <v>1</v>
      </c>
      <c r="CN159" s="18">
        <v>0</v>
      </c>
      <c r="CO159" s="18">
        <v>1</v>
      </c>
      <c r="CP159" s="18">
        <v>0</v>
      </c>
      <c r="CQ159" s="18">
        <v>1</v>
      </c>
      <c r="CR159" s="18" t="s">
        <v>5141</v>
      </c>
      <c r="CS159" s="18" t="s">
        <v>5141</v>
      </c>
      <c r="CT159" s="18">
        <v>0</v>
      </c>
      <c r="CU159" s="18">
        <v>1</v>
      </c>
      <c r="CV159" s="18">
        <v>2</v>
      </c>
      <c r="CX159" s="18">
        <v>0</v>
      </c>
      <c r="CY159" s="18">
        <v>1</v>
      </c>
      <c r="CZ159" s="18">
        <v>0</v>
      </c>
      <c r="DA159" s="18">
        <v>0</v>
      </c>
      <c r="DB159" s="18">
        <v>1</v>
      </c>
      <c r="DC159" s="18">
        <v>1</v>
      </c>
      <c r="DD159" s="18">
        <v>0</v>
      </c>
      <c r="DE159" s="18" t="s">
        <v>5141</v>
      </c>
      <c r="DF159" s="18" t="s">
        <v>5141</v>
      </c>
      <c r="DG159" s="18">
        <v>0</v>
      </c>
      <c r="DH159" s="18">
        <v>2</v>
      </c>
      <c r="DI159" s="18">
        <v>2</v>
      </c>
      <c r="DK159" s="18">
        <v>0</v>
      </c>
      <c r="DL159" s="18">
        <v>0</v>
      </c>
      <c r="DM159" s="18" t="s">
        <v>5127</v>
      </c>
      <c r="DN159" s="18" t="s">
        <v>5314</v>
      </c>
      <c r="DO159" s="18" t="s">
        <v>5371</v>
      </c>
      <c r="DP159" s="18" t="s">
        <v>113</v>
      </c>
      <c r="DS159" s="18">
        <v>0</v>
      </c>
      <c r="DT159" s="18">
        <v>1</v>
      </c>
      <c r="DU159" s="18">
        <v>1</v>
      </c>
      <c r="DV159" s="18" t="s">
        <v>5301</v>
      </c>
      <c r="DX159" s="18" t="s">
        <v>5222</v>
      </c>
      <c r="DY159" s="18" t="s">
        <v>106</v>
      </c>
      <c r="DZ159" s="18" t="s">
        <v>106</v>
      </c>
      <c r="EA159" s="18" t="s">
        <v>5146</v>
      </c>
      <c r="EB159" s="18">
        <v>307099</v>
      </c>
      <c r="EC159" s="18" t="s">
        <v>106</v>
      </c>
      <c r="ED159" s="18" t="s">
        <v>5176</v>
      </c>
      <c r="EE159" s="18" t="s">
        <v>106</v>
      </c>
      <c r="EF159" s="18" t="s">
        <v>106</v>
      </c>
      <c r="EG159" s="18" t="s">
        <v>5148</v>
      </c>
      <c r="EH159" s="18" t="s">
        <v>5203</v>
      </c>
      <c r="EI159" s="18" t="s">
        <v>5204</v>
      </c>
      <c r="EJ159" s="18" t="s">
        <v>5245</v>
      </c>
      <c r="EN159" s="18" t="s">
        <v>113</v>
      </c>
      <c r="EO159" s="18" t="s">
        <v>113</v>
      </c>
      <c r="EP159" s="18" t="s">
        <v>113</v>
      </c>
      <c r="EQ159" s="18" t="s">
        <v>113</v>
      </c>
      <c r="ER159" s="18" t="s">
        <v>5289</v>
      </c>
      <c r="ES159" s="18" t="s">
        <v>5447</v>
      </c>
      <c r="ET159" s="18" t="s">
        <v>5154</v>
      </c>
      <c r="EU159" s="18" t="s">
        <v>5155</v>
      </c>
      <c r="EV159" s="18" t="s">
        <v>5730</v>
      </c>
      <c r="EW159" s="18" t="s">
        <v>5291</v>
      </c>
      <c r="EX159" s="18" t="s">
        <v>5158</v>
      </c>
      <c r="EY159" s="18" t="s">
        <v>5248</v>
      </c>
      <c r="EZ159" s="18" t="s">
        <v>5182</v>
      </c>
      <c r="FA159" s="18" t="s">
        <v>144</v>
      </c>
      <c r="FB159" s="18" t="s">
        <v>5161</v>
      </c>
    </row>
    <row r="160" spans="1:158" ht="10.5" customHeight="1" x14ac:dyDescent="0.2">
      <c r="A160" s="16">
        <v>41</v>
      </c>
      <c r="B160" s="16" t="s">
        <v>1476</v>
      </c>
      <c r="C160" s="16" t="s">
        <v>108</v>
      </c>
      <c r="D160" s="16">
        <v>1829225</v>
      </c>
      <c r="E160" s="16" t="s">
        <v>6660</v>
      </c>
      <c r="F160" s="18" t="s">
        <v>108</v>
      </c>
      <c r="G160" s="18" t="s">
        <v>106</v>
      </c>
      <c r="H160" s="15" t="s">
        <v>5127</v>
      </c>
      <c r="I160" s="18">
        <v>15</v>
      </c>
      <c r="J160" s="18">
        <v>9</v>
      </c>
      <c r="K160" s="18">
        <v>6</v>
      </c>
      <c r="L160" s="18">
        <v>0</v>
      </c>
      <c r="M160" s="18" t="s">
        <v>5230</v>
      </c>
      <c r="N160" s="18">
        <v>24001707</v>
      </c>
      <c r="O160" s="18">
        <v>45812</v>
      </c>
      <c r="T160" s="18" t="s">
        <v>111</v>
      </c>
      <c r="U160" s="18" t="s">
        <v>5185</v>
      </c>
      <c r="V160" s="18" t="s">
        <v>106</v>
      </c>
      <c r="W160" s="18" t="s">
        <v>5124</v>
      </c>
      <c r="Y160" s="18" t="s">
        <v>5232</v>
      </c>
      <c r="Z160" s="18" t="s">
        <v>106</v>
      </c>
      <c r="AA160" s="18" t="s">
        <v>5267</v>
      </c>
      <c r="AC160" s="18" t="s">
        <v>5127</v>
      </c>
      <c r="AD160" s="18" t="s">
        <v>5127</v>
      </c>
      <c r="AE160" s="18" t="s">
        <v>5127</v>
      </c>
      <c r="AF160" s="18" t="s">
        <v>5127</v>
      </c>
      <c r="AG160" s="18" t="s">
        <v>5127</v>
      </c>
      <c r="AH160" s="18" t="s">
        <v>5127</v>
      </c>
      <c r="AI160" s="18">
        <v>0</v>
      </c>
      <c r="AK160" s="18" t="s">
        <v>5164</v>
      </c>
      <c r="AN160" s="18">
        <v>730075</v>
      </c>
      <c r="AO160" s="18" t="s">
        <v>5129</v>
      </c>
      <c r="AP160" s="18" t="s">
        <v>5781</v>
      </c>
      <c r="AQ160" s="18" t="s">
        <v>5393</v>
      </c>
      <c r="AR160" s="18" t="s">
        <v>5727</v>
      </c>
      <c r="AT160" s="17">
        <f>(365*D160*0.7)/1000</f>
        <v>467366.98749999999</v>
      </c>
      <c r="AU160" s="17">
        <f t="shared" si="5"/>
        <v>219.227</v>
      </c>
      <c r="AV160" s="18">
        <f>144227/1000</f>
        <v>144.227</v>
      </c>
      <c r="AW160" s="18">
        <f>75000/1000</f>
        <v>75</v>
      </c>
      <c r="AY160" s="18" t="s">
        <v>5745</v>
      </c>
      <c r="BG160" s="18" t="s">
        <v>164</v>
      </c>
      <c r="BQ160" s="18">
        <f>260579/1000</f>
        <v>260.57900000000001</v>
      </c>
      <c r="BR160" s="18">
        <f>87421/1000</f>
        <v>87.421000000000006</v>
      </c>
      <c r="BS160" s="18">
        <f>18790/1000</f>
        <v>18.79</v>
      </c>
      <c r="BT160" s="18">
        <f>144740/1000</f>
        <v>144.74</v>
      </c>
      <c r="BU160" s="18">
        <v>0</v>
      </c>
      <c r="BV160" s="18">
        <f t="shared" si="4"/>
        <v>511.53000000000003</v>
      </c>
      <c r="BW160" s="15">
        <f t="shared" si="6"/>
        <v>511.53000000000003</v>
      </c>
      <c r="BY160" s="18" t="s">
        <v>5134</v>
      </c>
      <c r="BZ160" s="18" t="s">
        <v>5240</v>
      </c>
      <c r="CD160" s="18" t="s">
        <v>5127</v>
      </c>
      <c r="CE160" s="18" t="s">
        <v>5127</v>
      </c>
      <c r="CF160" s="18" t="s">
        <v>5135</v>
      </c>
      <c r="CG160" s="18" t="s">
        <v>5550</v>
      </c>
      <c r="CH160" s="18" t="s">
        <v>5194</v>
      </c>
      <c r="CI160" s="18" t="s">
        <v>111</v>
      </c>
      <c r="CJ160" s="18" t="s">
        <v>5196</v>
      </c>
      <c r="CK160" s="18" t="s">
        <v>5341</v>
      </c>
      <c r="CL160" s="18">
        <v>1</v>
      </c>
      <c r="CM160" s="18">
        <v>0</v>
      </c>
      <c r="CN160" s="18">
        <v>0</v>
      </c>
      <c r="CO160" s="18">
        <v>1</v>
      </c>
      <c r="CP160" s="18">
        <v>0</v>
      </c>
      <c r="CQ160" s="18">
        <v>1</v>
      </c>
      <c r="CR160" s="18" t="s">
        <v>5141</v>
      </c>
      <c r="CS160" s="18" t="s">
        <v>5141</v>
      </c>
      <c r="CT160" s="18">
        <v>0</v>
      </c>
      <c r="CU160" s="18">
        <v>1</v>
      </c>
      <c r="CV160" s="18">
        <v>1</v>
      </c>
      <c r="CX160" s="18">
        <v>0</v>
      </c>
      <c r="CY160" s="18">
        <v>1</v>
      </c>
      <c r="CZ160" s="18">
        <v>1</v>
      </c>
      <c r="DA160" s="18">
        <v>0</v>
      </c>
      <c r="DB160" s="18">
        <v>1</v>
      </c>
      <c r="DC160" s="18">
        <v>1</v>
      </c>
      <c r="DD160" s="18">
        <v>1</v>
      </c>
      <c r="DE160" s="18" t="s">
        <v>5141</v>
      </c>
      <c r="DF160" s="18" t="s">
        <v>5141</v>
      </c>
      <c r="DG160" s="18">
        <v>0</v>
      </c>
      <c r="DH160" s="18">
        <v>3</v>
      </c>
      <c r="DI160" s="18">
        <v>3</v>
      </c>
      <c r="DK160" s="18">
        <v>0</v>
      </c>
      <c r="DL160" s="18">
        <v>0</v>
      </c>
      <c r="DM160" s="18" t="s">
        <v>5127</v>
      </c>
      <c r="DN160" s="18" t="s">
        <v>5172</v>
      </c>
      <c r="DO160" s="18" t="s">
        <v>5315</v>
      </c>
      <c r="DP160" s="18" t="s">
        <v>113</v>
      </c>
      <c r="DS160" s="18">
        <v>0</v>
      </c>
      <c r="DT160" s="18">
        <v>1</v>
      </c>
      <c r="DU160" s="18">
        <v>1</v>
      </c>
      <c r="DV160" s="18" t="s">
        <v>5342</v>
      </c>
      <c r="DX160" s="18" t="s">
        <v>5222</v>
      </c>
      <c r="DY160" s="18" t="s">
        <v>106</v>
      </c>
      <c r="DZ160" s="18" t="s">
        <v>106</v>
      </c>
      <c r="EA160" s="18" t="s">
        <v>5175</v>
      </c>
      <c r="EB160" s="18">
        <v>511530</v>
      </c>
      <c r="EC160" s="18" t="s">
        <v>106</v>
      </c>
      <c r="ED160" s="18" t="s">
        <v>5176</v>
      </c>
      <c r="EE160" s="18" t="s">
        <v>106</v>
      </c>
      <c r="EF160" s="18" t="s">
        <v>106</v>
      </c>
      <c r="EG160" s="18" t="s">
        <v>5148</v>
      </c>
      <c r="EH160" s="18" t="s">
        <v>5203</v>
      </c>
      <c r="EI160" s="18" t="s">
        <v>5204</v>
      </c>
      <c r="EJ160" s="18" t="s">
        <v>5327</v>
      </c>
      <c r="EN160" s="18" t="s">
        <v>113</v>
      </c>
      <c r="EO160" s="18" t="s">
        <v>113</v>
      </c>
      <c r="EP160" s="18" t="s">
        <v>113</v>
      </c>
      <c r="EQ160" s="18" t="s">
        <v>113</v>
      </c>
      <c r="ER160" s="18" t="s">
        <v>5289</v>
      </c>
      <c r="ES160" s="18" t="s">
        <v>5275</v>
      </c>
      <c r="ET160" s="18" t="s">
        <v>5154</v>
      </c>
      <c r="EU160" s="18" t="s">
        <v>5155</v>
      </c>
      <c r="EV160" s="18" t="s">
        <v>5730</v>
      </c>
      <c r="EW160" s="18" t="s">
        <v>5180</v>
      </c>
      <c r="EX160" s="18" t="s">
        <v>5158</v>
      </c>
      <c r="EY160" s="18" t="s">
        <v>164</v>
      </c>
      <c r="EZ160" s="18" t="s">
        <v>5182</v>
      </c>
      <c r="FA160" s="18" t="s">
        <v>144</v>
      </c>
      <c r="FB160" s="18" t="s">
        <v>5161</v>
      </c>
    </row>
    <row r="161" spans="1:158" ht="10.5" customHeight="1" x14ac:dyDescent="0.2">
      <c r="A161" s="16">
        <v>41</v>
      </c>
      <c r="B161" s="16" t="s">
        <v>1476</v>
      </c>
      <c r="C161" s="16" t="s">
        <v>108</v>
      </c>
      <c r="D161" s="16">
        <v>1829225</v>
      </c>
      <c r="E161" s="16" t="s">
        <v>6660</v>
      </c>
      <c r="F161" s="18" t="s">
        <v>108</v>
      </c>
      <c r="G161" s="18" t="s">
        <v>106</v>
      </c>
      <c r="H161" s="15" t="s">
        <v>5127</v>
      </c>
      <c r="I161" s="18">
        <v>38</v>
      </c>
      <c r="J161" s="18">
        <v>13</v>
      </c>
      <c r="K161" s="18">
        <v>25</v>
      </c>
      <c r="L161" s="18">
        <v>0</v>
      </c>
      <c r="M161" s="18" t="s">
        <v>5183</v>
      </c>
      <c r="N161" s="18" t="s">
        <v>5782</v>
      </c>
      <c r="O161" s="18">
        <v>46761</v>
      </c>
      <c r="T161" s="18" t="s">
        <v>5783</v>
      </c>
      <c r="U161" s="18" t="s">
        <v>5185</v>
      </c>
      <c r="V161" s="18" t="s">
        <v>106</v>
      </c>
      <c r="W161" s="18" t="s">
        <v>5124</v>
      </c>
      <c r="Y161" s="18" t="s">
        <v>5232</v>
      </c>
      <c r="Z161" s="18" t="s">
        <v>106</v>
      </c>
      <c r="AA161" s="18" t="s">
        <v>5163</v>
      </c>
      <c r="AB161" s="18" t="s">
        <v>179</v>
      </c>
      <c r="AC161" s="18" t="s">
        <v>5127</v>
      </c>
      <c r="AD161" s="18" t="s">
        <v>5127</v>
      </c>
      <c r="AE161" s="18" t="s">
        <v>5127</v>
      </c>
      <c r="AF161" s="18" t="s">
        <v>5127</v>
      </c>
      <c r="AG161" s="18" t="s">
        <v>5127</v>
      </c>
      <c r="AH161" s="18" t="s">
        <v>5127</v>
      </c>
      <c r="AI161" s="18">
        <v>4</v>
      </c>
      <c r="AK161" s="18" t="s">
        <v>5128</v>
      </c>
      <c r="AN161" s="18">
        <v>2037714</v>
      </c>
      <c r="AO161" s="18" t="s">
        <v>5165</v>
      </c>
      <c r="AP161" s="18" t="s">
        <v>5784</v>
      </c>
      <c r="AQ161" s="18" t="s">
        <v>5269</v>
      </c>
      <c r="AR161" s="18" t="s">
        <v>5727</v>
      </c>
      <c r="AT161" s="17">
        <f>(365*D161*0.7)/1000</f>
        <v>467366.98749999999</v>
      </c>
      <c r="AU161" s="17">
        <f t="shared" si="5"/>
        <v>737.45</v>
      </c>
      <c r="AV161" s="18">
        <f>510250/1000</f>
        <v>510.25</v>
      </c>
      <c r="AW161" s="18">
        <f>227200/1000</f>
        <v>227.2</v>
      </c>
      <c r="AY161" s="18" t="s">
        <v>5745</v>
      </c>
      <c r="BD161" s="18">
        <f>1200/1000</f>
        <v>1.2</v>
      </c>
      <c r="BG161" s="18" t="s">
        <v>5663</v>
      </c>
      <c r="BQ161" s="18">
        <f>646169/1000</f>
        <v>646.16899999999998</v>
      </c>
      <c r="BR161" s="18">
        <f>352296/1000</f>
        <v>352.29599999999999</v>
      </c>
      <c r="BS161" s="18">
        <f>128018/1000</f>
        <v>128.018</v>
      </c>
      <c r="BT161" s="18">
        <f>299917/1000</f>
        <v>299.91699999999997</v>
      </c>
      <c r="BU161" s="18" t="s">
        <v>220</v>
      </c>
      <c r="BV161" s="18">
        <f t="shared" si="4"/>
        <v>1426.3999999999999</v>
      </c>
      <c r="BW161" s="15">
        <f t="shared" si="6"/>
        <v>1426.3999999999999</v>
      </c>
      <c r="BY161" s="18" t="s">
        <v>5134</v>
      </c>
      <c r="BZ161" s="18" t="s">
        <v>5765</v>
      </c>
      <c r="CD161" s="18" t="s">
        <v>5127</v>
      </c>
      <c r="CE161" s="18" t="s">
        <v>5127</v>
      </c>
      <c r="CF161" s="18" t="s">
        <v>5529</v>
      </c>
      <c r="CG161" s="18" t="s">
        <v>5193</v>
      </c>
      <c r="CH161" s="18" t="s">
        <v>5785</v>
      </c>
      <c r="CI161" s="18" t="s">
        <v>5195</v>
      </c>
      <c r="CJ161" s="18" t="s">
        <v>5786</v>
      </c>
      <c r="CK161" s="18" t="s">
        <v>5787</v>
      </c>
      <c r="CL161" s="18">
        <v>2</v>
      </c>
      <c r="CM161" s="18">
        <v>2</v>
      </c>
      <c r="CN161" s="18">
        <v>0</v>
      </c>
      <c r="CO161" s="18">
        <v>2</v>
      </c>
      <c r="CP161" s="18">
        <v>1</v>
      </c>
      <c r="CQ161" s="18">
        <v>1</v>
      </c>
      <c r="CR161" s="18" t="s">
        <v>5141</v>
      </c>
      <c r="CS161" s="18" t="s">
        <v>5141</v>
      </c>
      <c r="CT161" s="18">
        <v>1</v>
      </c>
      <c r="CU161" s="18" t="s">
        <v>5141</v>
      </c>
      <c r="CV161" s="18" t="s">
        <v>5141</v>
      </c>
      <c r="CX161" s="18">
        <v>1</v>
      </c>
      <c r="CY161" s="18">
        <v>1</v>
      </c>
      <c r="CZ161" s="18">
        <v>1</v>
      </c>
      <c r="DA161" s="18">
        <v>1</v>
      </c>
      <c r="DB161" s="18">
        <v>1</v>
      </c>
      <c r="DC161" s="18">
        <v>1</v>
      </c>
      <c r="DD161" s="18">
        <v>1</v>
      </c>
      <c r="DE161" s="18">
        <v>1</v>
      </c>
      <c r="DF161" s="18">
        <v>1</v>
      </c>
      <c r="DG161" s="18">
        <v>1</v>
      </c>
      <c r="DH161" s="18">
        <v>1</v>
      </c>
      <c r="DI161" s="18">
        <v>1</v>
      </c>
      <c r="DK161" s="18">
        <v>0</v>
      </c>
      <c r="DL161" s="18">
        <v>1</v>
      </c>
      <c r="DM161" s="18" t="s">
        <v>5127</v>
      </c>
      <c r="DN161" s="18" t="s">
        <v>5258</v>
      </c>
      <c r="DO161" s="18" t="s">
        <v>5315</v>
      </c>
      <c r="DP161" s="18" t="s">
        <v>113</v>
      </c>
      <c r="DQ161" s="18" t="s">
        <v>179</v>
      </c>
      <c r="DS161" s="18">
        <v>400</v>
      </c>
      <c r="DT161" s="18">
        <v>2</v>
      </c>
      <c r="DU161" s="18">
        <v>1</v>
      </c>
      <c r="DV161" s="18" t="s">
        <v>5342</v>
      </c>
      <c r="DX161" s="18" t="s">
        <v>5222</v>
      </c>
      <c r="DY161" s="18" t="s">
        <v>106</v>
      </c>
      <c r="DZ161" s="18" t="s">
        <v>106</v>
      </c>
      <c r="EA161" s="18" t="s">
        <v>5586</v>
      </c>
      <c r="EB161" s="18">
        <v>1426400</v>
      </c>
      <c r="EC161" s="18" t="s">
        <v>106</v>
      </c>
      <c r="ED161" s="18" t="s">
        <v>5176</v>
      </c>
      <c r="EE161" s="18" t="s">
        <v>106</v>
      </c>
      <c r="EF161" s="18" t="s">
        <v>106</v>
      </c>
      <c r="EG161" s="18" t="s">
        <v>5148</v>
      </c>
      <c r="EH161" s="18" t="s">
        <v>5203</v>
      </c>
      <c r="EI161" s="18" t="s">
        <v>5204</v>
      </c>
      <c r="EJ161" s="18" t="s">
        <v>5245</v>
      </c>
      <c r="EK161" s="18" t="s">
        <v>5362</v>
      </c>
      <c r="EL161" s="18" t="s">
        <v>5226</v>
      </c>
      <c r="EM161" s="18" t="s">
        <v>5514</v>
      </c>
      <c r="EN161" s="18" t="s">
        <v>106</v>
      </c>
      <c r="EO161" s="18" t="s">
        <v>113</v>
      </c>
      <c r="EP161" s="18" t="s">
        <v>113</v>
      </c>
      <c r="EQ161" s="18" t="s">
        <v>113</v>
      </c>
      <c r="ER161" s="18" t="s">
        <v>5289</v>
      </c>
      <c r="ES161" s="18" t="s">
        <v>5736</v>
      </c>
      <c r="ET161" s="18" t="s">
        <v>5154</v>
      </c>
      <c r="EU161" s="18" t="s">
        <v>5318</v>
      </c>
      <c r="EV161" s="18" t="s">
        <v>5659</v>
      </c>
      <c r="EW161" s="18" t="s">
        <v>5180</v>
      </c>
      <c r="EX161" s="18" t="s">
        <v>5158</v>
      </c>
      <c r="EY161" s="18" t="s">
        <v>5181</v>
      </c>
      <c r="EZ161" s="18" t="s">
        <v>5182</v>
      </c>
      <c r="FA161" s="18" t="s">
        <v>144</v>
      </c>
      <c r="FB161" s="18" t="s">
        <v>5161</v>
      </c>
    </row>
    <row r="162" spans="1:158" ht="10.5" customHeight="1" x14ac:dyDescent="0.2">
      <c r="A162" s="16">
        <v>41</v>
      </c>
      <c r="B162" s="16" t="s">
        <v>1476</v>
      </c>
      <c r="C162" s="16" t="s">
        <v>108</v>
      </c>
      <c r="D162" s="16">
        <v>1829225</v>
      </c>
      <c r="E162" s="16" t="s">
        <v>6660</v>
      </c>
      <c r="F162" s="18" t="s">
        <v>108</v>
      </c>
      <c r="G162" s="18" t="s">
        <v>106</v>
      </c>
      <c r="H162" s="15" t="s">
        <v>5127</v>
      </c>
      <c r="I162" s="18">
        <v>23</v>
      </c>
      <c r="J162" s="18">
        <v>14</v>
      </c>
      <c r="K162" s="18">
        <v>9</v>
      </c>
      <c r="M162" s="18" t="s">
        <v>5183</v>
      </c>
      <c r="N162" s="18">
        <v>23004720</v>
      </c>
      <c r="O162" s="18">
        <v>46234</v>
      </c>
      <c r="T162" s="18" t="s">
        <v>5122</v>
      </c>
      <c r="U162" s="18" t="s">
        <v>5185</v>
      </c>
      <c r="V162" s="18" t="s">
        <v>106</v>
      </c>
      <c r="W162" s="18" t="s">
        <v>5124</v>
      </c>
      <c r="Y162" s="18" t="s">
        <v>5232</v>
      </c>
      <c r="Z162" s="18" t="s">
        <v>106</v>
      </c>
      <c r="AA162" s="18" t="s">
        <v>5267</v>
      </c>
      <c r="AC162" s="18" t="s">
        <v>5127</v>
      </c>
      <c r="AD162" s="18" t="s">
        <v>5127</v>
      </c>
      <c r="AE162" s="18" t="s">
        <v>5127</v>
      </c>
      <c r="AF162" s="18" t="s">
        <v>111</v>
      </c>
      <c r="AG162" s="18" t="s">
        <v>5127</v>
      </c>
      <c r="AH162" s="18" t="s">
        <v>5127</v>
      </c>
      <c r="AI162" s="18">
        <v>1</v>
      </c>
      <c r="AK162" s="18" t="s">
        <v>5164</v>
      </c>
      <c r="AN162" s="18">
        <v>650000</v>
      </c>
      <c r="AO162" s="18" t="s">
        <v>5165</v>
      </c>
      <c r="AP162" s="18" t="s">
        <v>5788</v>
      </c>
      <c r="AQ162" s="18" t="s">
        <v>5711</v>
      </c>
      <c r="AR162" s="18" t="s">
        <v>5168</v>
      </c>
      <c r="AT162" s="17">
        <f>(365*D162*0.7)/1000</f>
        <v>467366.98749999999</v>
      </c>
      <c r="AU162" s="17">
        <f t="shared" si="5"/>
        <v>264.52499999999998</v>
      </c>
      <c r="AV162" s="18">
        <f>163464/1000</f>
        <v>163.464</v>
      </c>
      <c r="AW162" s="18">
        <f>101061/1000</f>
        <v>101.06100000000001</v>
      </c>
      <c r="AY162" s="18" t="s">
        <v>5745</v>
      </c>
      <c r="AZ162" s="18">
        <v>0</v>
      </c>
      <c r="BD162" s="18">
        <f>300/1000</f>
        <v>0.3</v>
      </c>
      <c r="BG162" s="18" t="s">
        <v>5663</v>
      </c>
      <c r="BI162" s="18">
        <f>1000/1000</f>
        <v>1</v>
      </c>
      <c r="BQ162" s="18">
        <f>188506/1000</f>
        <v>188.506</v>
      </c>
      <c r="BR162" s="18">
        <f>180574/1000</f>
        <v>180.57400000000001</v>
      </c>
      <c r="BS162" s="18">
        <f>42706/1000</f>
        <v>42.706000000000003</v>
      </c>
      <c r="BT162" s="18">
        <f>7075/1000</f>
        <v>7.0750000000000002</v>
      </c>
      <c r="BU162" s="18">
        <v>0</v>
      </c>
      <c r="BV162" s="18">
        <f>SUM(BQ162:BU162)</f>
        <v>418.86100000000005</v>
      </c>
      <c r="BW162" s="15">
        <f t="shared" si="6"/>
        <v>418.86100000000005</v>
      </c>
      <c r="BY162" s="18" t="s">
        <v>5134</v>
      </c>
      <c r="BZ162" s="18" t="s">
        <v>5240</v>
      </c>
      <c r="CD162" s="18" t="s">
        <v>5127</v>
      </c>
      <c r="CE162" s="18" t="s">
        <v>5127</v>
      </c>
      <c r="CF162" s="18" t="s">
        <v>5135</v>
      </c>
      <c r="CG162" s="18" t="s">
        <v>5550</v>
      </c>
      <c r="CH162" s="18" t="s">
        <v>5284</v>
      </c>
      <c r="CI162" s="18" t="s">
        <v>5138</v>
      </c>
      <c r="CJ162" s="18" t="s">
        <v>5196</v>
      </c>
      <c r="CK162" s="18" t="s">
        <v>5341</v>
      </c>
      <c r="CL162" s="18">
        <v>1</v>
      </c>
      <c r="CM162" s="18">
        <v>0</v>
      </c>
      <c r="CN162" s="18">
        <v>0</v>
      </c>
      <c r="CO162" s="18">
        <v>1</v>
      </c>
      <c r="CP162" s="18">
        <v>1</v>
      </c>
      <c r="CQ162" s="18">
        <v>1</v>
      </c>
      <c r="CR162" s="18" t="s">
        <v>5141</v>
      </c>
      <c r="CS162" s="18" t="s">
        <v>5141</v>
      </c>
      <c r="CT162" s="18">
        <v>0</v>
      </c>
      <c r="CU162" s="18">
        <v>2</v>
      </c>
      <c r="CV162" s="18">
        <v>2</v>
      </c>
      <c r="CX162" s="18">
        <v>1</v>
      </c>
      <c r="CY162" s="18">
        <v>1</v>
      </c>
      <c r="CZ162" s="18">
        <v>1</v>
      </c>
      <c r="DA162" s="18">
        <v>0</v>
      </c>
      <c r="DB162" s="18">
        <v>1</v>
      </c>
      <c r="DC162" s="18">
        <v>1</v>
      </c>
      <c r="DD162" s="18">
        <v>1</v>
      </c>
      <c r="DE162" s="18" t="s">
        <v>5141</v>
      </c>
      <c r="DF162" s="18" t="s">
        <v>5141</v>
      </c>
      <c r="DG162" s="18">
        <v>0</v>
      </c>
      <c r="DH162" s="18">
        <v>2</v>
      </c>
      <c r="DI162" s="18">
        <v>1</v>
      </c>
      <c r="DK162" s="18">
        <v>0</v>
      </c>
      <c r="DL162" s="18">
        <v>0</v>
      </c>
      <c r="DM162" s="18" t="s">
        <v>5127</v>
      </c>
      <c r="DN162" s="18" t="s">
        <v>5172</v>
      </c>
      <c r="DO162" s="18" t="s">
        <v>5315</v>
      </c>
      <c r="DP162" s="18" t="s">
        <v>113</v>
      </c>
      <c r="DS162" s="18">
        <v>0</v>
      </c>
      <c r="DT162" s="18">
        <v>1</v>
      </c>
      <c r="DU162" s="18">
        <v>1</v>
      </c>
      <c r="DV162" s="18" t="s">
        <v>5666</v>
      </c>
      <c r="DX162" s="18" t="s">
        <v>5222</v>
      </c>
      <c r="DY162" s="18" t="s">
        <v>106</v>
      </c>
      <c r="DZ162" s="18" t="s">
        <v>106</v>
      </c>
      <c r="EA162" s="18" t="s">
        <v>5586</v>
      </c>
      <c r="EB162" s="18">
        <v>482536</v>
      </c>
      <c r="EC162" s="18" t="s">
        <v>106</v>
      </c>
      <c r="ED162" s="18" t="s">
        <v>5176</v>
      </c>
      <c r="EE162" s="18" t="s">
        <v>106</v>
      </c>
      <c r="EF162" s="18" t="s">
        <v>106</v>
      </c>
      <c r="EG162" s="18" t="s">
        <v>5148</v>
      </c>
      <c r="EH162" s="18" t="s">
        <v>5203</v>
      </c>
      <c r="EI162" s="18" t="s">
        <v>5204</v>
      </c>
      <c r="EJ162" s="18" t="s">
        <v>5530</v>
      </c>
      <c r="EK162" s="18" t="s">
        <v>113</v>
      </c>
      <c r="EN162" s="18" t="s">
        <v>113</v>
      </c>
      <c r="EO162" s="18" t="s">
        <v>113</v>
      </c>
      <c r="EP162" s="18" t="s">
        <v>113</v>
      </c>
      <c r="EQ162" s="18" t="s">
        <v>113</v>
      </c>
      <c r="ER162" s="18" t="s">
        <v>5206</v>
      </c>
      <c r="ES162" s="18" t="s">
        <v>5352</v>
      </c>
      <c r="ET162" s="18" t="s">
        <v>5154</v>
      </c>
      <c r="EU162" s="18" t="s">
        <v>5155</v>
      </c>
      <c r="EV162" s="18" t="s">
        <v>5789</v>
      </c>
      <c r="EW162" s="18" t="s">
        <v>5291</v>
      </c>
      <c r="EX162" s="18" t="s">
        <v>5158</v>
      </c>
      <c r="EY162" s="18" t="s">
        <v>5248</v>
      </c>
      <c r="EZ162" s="18" t="s">
        <v>5182</v>
      </c>
      <c r="FA162" s="18" t="s">
        <v>144</v>
      </c>
      <c r="FB162" s="18" t="s">
        <v>5161</v>
      </c>
    </row>
    <row r="163" spans="1:158" ht="10.5" customHeight="1" x14ac:dyDescent="0.2">
      <c r="A163" s="16"/>
      <c r="B163" s="16"/>
      <c r="C163" s="16" t="s">
        <v>1665</v>
      </c>
      <c r="D163" s="16"/>
      <c r="E163" s="16"/>
      <c r="H163" s="15" t="s">
        <v>6661</v>
      </c>
      <c r="AT163" s="17">
        <f>(365*D163*0.7)/1000</f>
        <v>0</v>
      </c>
      <c r="AU163" s="17">
        <f t="shared" si="5"/>
        <v>0</v>
      </c>
      <c r="BQ163" s="18">
        <f>213597/1000</f>
        <v>213.59700000000001</v>
      </c>
      <c r="BR163" s="18">
        <f>266644/1000</f>
        <v>266.64400000000001</v>
      </c>
      <c r="BS163" s="18">
        <f>36708/1000</f>
        <v>36.707999999999998</v>
      </c>
      <c r="BT163" s="18">
        <f>112470/1000</f>
        <v>112.47</v>
      </c>
      <c r="BU163" s="18">
        <v>0</v>
      </c>
      <c r="BV163" s="18">
        <f>SUM(BQ163:BU163)</f>
        <v>629.41899999999998</v>
      </c>
      <c r="BW163" s="15">
        <f t="shared" si="6"/>
        <v>629.41899999999998</v>
      </c>
    </row>
    <row r="164" spans="1:158" ht="10.5" customHeight="1" x14ac:dyDescent="0.2">
      <c r="A164" s="16">
        <v>41</v>
      </c>
      <c r="B164" s="16" t="s">
        <v>731</v>
      </c>
      <c r="C164" s="16" t="s">
        <v>732</v>
      </c>
      <c r="D164" s="16">
        <v>3170</v>
      </c>
      <c r="E164" s="16" t="s">
        <v>6656</v>
      </c>
      <c r="F164" s="18" t="s">
        <v>732</v>
      </c>
      <c r="G164" s="18" t="s">
        <v>106</v>
      </c>
      <c r="H164" s="15" t="s">
        <v>5127</v>
      </c>
      <c r="I164" s="18">
        <v>6</v>
      </c>
      <c r="J164" s="18">
        <v>2</v>
      </c>
      <c r="K164" s="18">
        <v>4</v>
      </c>
      <c r="L164" s="18">
        <v>0</v>
      </c>
      <c r="M164" s="18" t="s">
        <v>5121</v>
      </c>
      <c r="N164" s="18" t="s">
        <v>5790</v>
      </c>
      <c r="O164" s="18">
        <v>44905</v>
      </c>
      <c r="T164" s="18" t="s">
        <v>111</v>
      </c>
      <c r="U164" s="18" t="s">
        <v>5250</v>
      </c>
      <c r="V164" s="18" t="s">
        <v>113</v>
      </c>
      <c r="W164" s="18" t="s">
        <v>5211</v>
      </c>
      <c r="Y164" s="18" t="s">
        <v>5791</v>
      </c>
      <c r="Z164" s="18" t="s">
        <v>113</v>
      </c>
      <c r="AA164" s="18" t="s">
        <v>5163</v>
      </c>
      <c r="AB164" s="18" t="s">
        <v>179</v>
      </c>
      <c r="AC164" s="18" t="s">
        <v>111</v>
      </c>
      <c r="AD164" s="18" t="s">
        <v>111</v>
      </c>
      <c r="AE164" s="18" t="s">
        <v>111</v>
      </c>
      <c r="AF164" s="18" t="s">
        <v>111</v>
      </c>
      <c r="AG164" s="18" t="s">
        <v>5127</v>
      </c>
      <c r="AH164" s="18" t="s">
        <v>111</v>
      </c>
      <c r="AI164" s="18">
        <v>0</v>
      </c>
      <c r="AK164" s="18" t="s">
        <v>5164</v>
      </c>
      <c r="AN164" s="18">
        <v>38</v>
      </c>
      <c r="AO164" s="18" t="s">
        <v>5391</v>
      </c>
      <c r="AP164" s="18" t="s">
        <v>5792</v>
      </c>
      <c r="AQ164" s="18" t="s">
        <v>5252</v>
      </c>
      <c r="AR164" s="18" t="s">
        <v>5168</v>
      </c>
      <c r="AT164" s="17">
        <f>(365*D164*0.7)/1000</f>
        <v>809.93499999999995</v>
      </c>
      <c r="AU164" s="17">
        <f t="shared" si="5"/>
        <v>8</v>
      </c>
      <c r="AV164" s="18">
        <v>8</v>
      </c>
      <c r="AW164" s="18">
        <v>0</v>
      </c>
      <c r="AY164" s="18" t="s">
        <v>164</v>
      </c>
      <c r="AZ164" s="18">
        <v>0</v>
      </c>
      <c r="BA164" s="18">
        <v>0</v>
      </c>
      <c r="BB164" s="18">
        <v>0</v>
      </c>
      <c r="BD164" s="18">
        <v>0</v>
      </c>
      <c r="BE164" s="18">
        <v>0</v>
      </c>
      <c r="BG164" s="18" t="s">
        <v>164</v>
      </c>
      <c r="BH164" s="18">
        <v>0</v>
      </c>
      <c r="BI164" s="18">
        <v>0</v>
      </c>
      <c r="BJ164" s="18">
        <v>0</v>
      </c>
      <c r="BQ164" s="18">
        <v>7</v>
      </c>
      <c r="BR164" s="18">
        <v>6</v>
      </c>
      <c r="BS164" s="18">
        <v>12</v>
      </c>
      <c r="BT164" s="18">
        <v>0</v>
      </c>
      <c r="BU164" s="18">
        <v>5</v>
      </c>
      <c r="BV164" s="18">
        <v>30</v>
      </c>
      <c r="BW164" s="15">
        <f t="shared" si="6"/>
        <v>30</v>
      </c>
      <c r="BY164" s="18" t="s">
        <v>5134</v>
      </c>
      <c r="BZ164" s="18" t="s">
        <v>193</v>
      </c>
      <c r="CD164" s="18" t="s">
        <v>5127</v>
      </c>
      <c r="CE164" s="18" t="s">
        <v>5127</v>
      </c>
      <c r="CF164" s="18" t="s">
        <v>5135</v>
      </c>
      <c r="CG164" s="18" t="s">
        <v>5793</v>
      </c>
      <c r="CH164" s="18" t="s">
        <v>5564</v>
      </c>
      <c r="CI164" s="18" t="s">
        <v>5195</v>
      </c>
      <c r="CJ164" s="18" t="s">
        <v>5196</v>
      </c>
      <c r="CK164" s="18" t="s">
        <v>5256</v>
      </c>
      <c r="CL164" s="18">
        <v>1</v>
      </c>
      <c r="CM164" s="18">
        <v>0</v>
      </c>
      <c r="CN164" s="18">
        <v>0</v>
      </c>
      <c r="CO164" s="18">
        <v>1</v>
      </c>
      <c r="CP164" s="18">
        <v>1</v>
      </c>
      <c r="CQ164" s="18">
        <v>0</v>
      </c>
      <c r="CR164" s="18">
        <v>0</v>
      </c>
      <c r="CS164" s="18" t="s">
        <v>5141</v>
      </c>
      <c r="CT164" s="18">
        <v>0</v>
      </c>
      <c r="CU164" s="18">
        <v>0</v>
      </c>
      <c r="CV164" s="18">
        <v>0</v>
      </c>
      <c r="CX164" s="18">
        <v>1</v>
      </c>
      <c r="CY164" s="18">
        <v>0</v>
      </c>
      <c r="CZ164" s="18">
        <v>1</v>
      </c>
      <c r="DA164" s="18">
        <v>1</v>
      </c>
      <c r="DB164" s="18">
        <v>0</v>
      </c>
      <c r="DC164" s="18">
        <v>1</v>
      </c>
      <c r="DD164" s="18">
        <v>1</v>
      </c>
      <c r="DE164" s="18">
        <v>1</v>
      </c>
      <c r="DF164" s="18">
        <v>0</v>
      </c>
      <c r="DG164" s="18">
        <v>1</v>
      </c>
      <c r="DH164" s="18">
        <v>1</v>
      </c>
      <c r="DI164" s="18">
        <v>1</v>
      </c>
      <c r="DK164" s="18">
        <v>0</v>
      </c>
      <c r="DL164" s="18">
        <v>0</v>
      </c>
      <c r="DM164" s="18" t="s">
        <v>5127</v>
      </c>
      <c r="DN164" s="18" t="s">
        <v>5314</v>
      </c>
      <c r="DO164" s="18" t="s">
        <v>5259</v>
      </c>
      <c r="DP164" s="18" t="s">
        <v>113</v>
      </c>
      <c r="DS164" s="18">
        <v>0</v>
      </c>
      <c r="DT164" s="18">
        <v>0</v>
      </c>
      <c r="DU164" s="18">
        <v>1</v>
      </c>
      <c r="DV164" s="18" t="s">
        <v>5260</v>
      </c>
      <c r="DX164" s="18" t="s">
        <v>5145</v>
      </c>
      <c r="DY164" s="18" t="s">
        <v>113</v>
      </c>
      <c r="DZ164" s="18" t="s">
        <v>113</v>
      </c>
      <c r="EA164" s="18" t="s">
        <v>5794</v>
      </c>
      <c r="EB164" s="18">
        <v>30</v>
      </c>
      <c r="EC164" s="18" t="s">
        <v>113</v>
      </c>
      <c r="ED164" s="18" t="s">
        <v>5176</v>
      </c>
      <c r="EE164" s="18" t="s">
        <v>113</v>
      </c>
      <c r="EF164" s="18" t="s">
        <v>113</v>
      </c>
      <c r="EG164" s="18" t="s">
        <v>5148</v>
      </c>
      <c r="EH164" s="18" t="s">
        <v>5149</v>
      </c>
      <c r="EI164" s="18" t="s">
        <v>5150</v>
      </c>
      <c r="EJ164" s="18" t="s">
        <v>5151</v>
      </c>
      <c r="EN164" s="18" t="s">
        <v>113</v>
      </c>
      <c r="EO164" s="18" t="s">
        <v>113</v>
      </c>
      <c r="EP164" s="18" t="s">
        <v>113</v>
      </c>
      <c r="EQ164" s="18" t="s">
        <v>113</v>
      </c>
      <c r="ER164" s="18" t="s">
        <v>5227</v>
      </c>
      <c r="ES164" s="18" t="s">
        <v>5795</v>
      </c>
      <c r="ET164" s="18" t="s">
        <v>5154</v>
      </c>
      <c r="EU164" s="18" t="s">
        <v>5155</v>
      </c>
      <c r="EV164" s="18" t="s">
        <v>179</v>
      </c>
      <c r="EW164" s="18" t="s">
        <v>5796</v>
      </c>
      <c r="EX164" s="18" t="s">
        <v>5158</v>
      </c>
      <c r="EY164" s="18" t="s">
        <v>5597</v>
      </c>
      <c r="EZ164" s="18" t="s">
        <v>5160</v>
      </c>
      <c r="FA164" s="18" t="s">
        <v>144</v>
      </c>
      <c r="FB164" s="18" t="s">
        <v>5161</v>
      </c>
    </row>
    <row r="165" spans="1:158" ht="10.5" customHeight="1" x14ac:dyDescent="0.2">
      <c r="A165" s="16">
        <v>41</v>
      </c>
      <c r="B165" s="16" t="s">
        <v>1494</v>
      </c>
      <c r="C165" s="16" t="s">
        <v>1493</v>
      </c>
      <c r="D165" s="16">
        <v>4557</v>
      </c>
      <c r="E165" s="16" t="s">
        <v>6656</v>
      </c>
      <c r="F165" s="18" t="s">
        <v>1493</v>
      </c>
      <c r="G165" s="18" t="s">
        <v>106</v>
      </c>
      <c r="H165" s="15" t="s">
        <v>5127</v>
      </c>
      <c r="I165" s="18">
        <v>16</v>
      </c>
      <c r="J165" s="18">
        <v>11</v>
      </c>
      <c r="K165" s="18">
        <v>5</v>
      </c>
      <c r="M165" s="18" t="s">
        <v>5183</v>
      </c>
      <c r="N165" s="18" t="s">
        <v>5797</v>
      </c>
      <c r="O165" s="18">
        <v>47286</v>
      </c>
      <c r="T165" s="18" t="s">
        <v>111</v>
      </c>
      <c r="U165" s="18" t="s">
        <v>5123</v>
      </c>
      <c r="V165" s="18" t="s">
        <v>106</v>
      </c>
      <c r="W165" s="18" t="s">
        <v>5124</v>
      </c>
      <c r="Y165" s="18" t="s">
        <v>5232</v>
      </c>
      <c r="Z165" s="18" t="s">
        <v>106</v>
      </c>
      <c r="AA165" s="18" t="s">
        <v>5163</v>
      </c>
      <c r="AB165" s="18" t="s">
        <v>179</v>
      </c>
      <c r="AC165" s="18" t="s">
        <v>5127</v>
      </c>
      <c r="AD165" s="18" t="s">
        <v>5127</v>
      </c>
      <c r="AE165" s="18" t="s">
        <v>5127</v>
      </c>
      <c r="AF165" s="18" t="s">
        <v>5127</v>
      </c>
      <c r="AG165" s="18" t="s">
        <v>5127</v>
      </c>
      <c r="AH165" s="18" t="s">
        <v>5127</v>
      </c>
      <c r="AI165" s="18">
        <v>1</v>
      </c>
      <c r="AK165" s="18" t="s">
        <v>5509</v>
      </c>
      <c r="AN165" s="18">
        <v>254</v>
      </c>
      <c r="AO165" s="18" t="s">
        <v>5186</v>
      </c>
      <c r="AP165" s="18" t="s">
        <v>5798</v>
      </c>
      <c r="AQ165" s="18" t="s">
        <v>164</v>
      </c>
      <c r="AR165" s="18" t="s">
        <v>5168</v>
      </c>
      <c r="AT165" s="17">
        <f>(365*D165*0.7)/1000</f>
        <v>1164.3135</v>
      </c>
      <c r="AU165" s="17">
        <f t="shared" si="5"/>
        <v>18</v>
      </c>
      <c r="AV165" s="18">
        <v>18</v>
      </c>
      <c r="AW165" s="18">
        <v>0</v>
      </c>
      <c r="AY165" s="18" t="s">
        <v>5607</v>
      </c>
      <c r="AZ165" s="18">
        <v>0</v>
      </c>
      <c r="BG165" s="18" t="s">
        <v>5281</v>
      </c>
      <c r="BQ165" s="18">
        <v>80</v>
      </c>
      <c r="BR165" s="18">
        <v>50</v>
      </c>
      <c r="BS165" s="18">
        <v>70</v>
      </c>
      <c r="BT165" s="18">
        <v>33</v>
      </c>
      <c r="BU165" s="18">
        <v>0</v>
      </c>
      <c r="BV165" s="18">
        <v>236</v>
      </c>
      <c r="BW165" s="15">
        <f t="shared" si="6"/>
        <v>233</v>
      </c>
      <c r="BY165" s="18" t="s">
        <v>5134</v>
      </c>
      <c r="BZ165" s="18" t="s">
        <v>5240</v>
      </c>
      <c r="CD165" s="18" t="s">
        <v>5127</v>
      </c>
      <c r="CE165" s="18" t="s">
        <v>111</v>
      </c>
      <c r="CF165" s="18" t="s">
        <v>5135</v>
      </c>
      <c r="CG165" s="18" t="s">
        <v>5749</v>
      </c>
      <c r="CH165" s="18" t="s">
        <v>5241</v>
      </c>
      <c r="CI165" s="18" t="s">
        <v>111</v>
      </c>
      <c r="CJ165" s="18" t="s">
        <v>5196</v>
      </c>
      <c r="CK165" s="18" t="s">
        <v>5197</v>
      </c>
      <c r="CL165" s="18">
        <v>1</v>
      </c>
      <c r="CM165" s="18">
        <v>1</v>
      </c>
      <c r="CN165" s="18">
        <v>2</v>
      </c>
      <c r="CO165" s="18">
        <v>1</v>
      </c>
      <c r="CP165" s="18">
        <v>1</v>
      </c>
      <c r="CQ165" s="18">
        <v>1</v>
      </c>
      <c r="CR165" s="18">
        <v>0</v>
      </c>
      <c r="CS165" s="18" t="s">
        <v>5141</v>
      </c>
      <c r="CT165" s="18">
        <v>0</v>
      </c>
      <c r="CU165" s="18">
        <v>1</v>
      </c>
      <c r="CV165" s="18" t="s">
        <v>5141</v>
      </c>
      <c r="CX165" s="18">
        <v>1</v>
      </c>
      <c r="CY165" s="18">
        <v>1</v>
      </c>
      <c r="CZ165" s="18">
        <v>2</v>
      </c>
      <c r="DA165" s="18">
        <v>2</v>
      </c>
      <c r="DB165" s="18">
        <v>2</v>
      </c>
      <c r="DC165" s="18">
        <v>1</v>
      </c>
      <c r="DD165" s="18">
        <v>1</v>
      </c>
      <c r="DE165" s="18">
        <v>0</v>
      </c>
      <c r="DF165" s="18" t="s">
        <v>5141</v>
      </c>
      <c r="DG165" s="18">
        <v>1</v>
      </c>
      <c r="DH165" s="18">
        <v>1</v>
      </c>
      <c r="DI165" s="18" t="s">
        <v>5141</v>
      </c>
      <c r="DK165" s="18">
        <v>0</v>
      </c>
      <c r="DL165" s="18">
        <v>0</v>
      </c>
      <c r="DM165" s="18" t="s">
        <v>5127</v>
      </c>
      <c r="DN165" s="18" t="s">
        <v>5172</v>
      </c>
      <c r="DO165" s="18" t="s">
        <v>5799</v>
      </c>
      <c r="DP165" s="18" t="s">
        <v>113</v>
      </c>
      <c r="DS165" s="18">
        <v>0</v>
      </c>
      <c r="DT165" s="18">
        <v>0</v>
      </c>
      <c r="DU165" s="18">
        <v>1</v>
      </c>
      <c r="DV165" s="18" t="s">
        <v>5260</v>
      </c>
      <c r="DX165" s="18" t="s">
        <v>5222</v>
      </c>
      <c r="DY165" s="18" t="s">
        <v>106</v>
      </c>
      <c r="DZ165" s="18" t="s">
        <v>113</v>
      </c>
      <c r="EA165" s="18" t="s">
        <v>5285</v>
      </c>
      <c r="EB165" s="18">
        <v>236</v>
      </c>
      <c r="EC165" s="18" t="s">
        <v>106</v>
      </c>
      <c r="ED165" s="18" t="s">
        <v>5176</v>
      </c>
      <c r="EE165" s="18" t="s">
        <v>113</v>
      </c>
      <c r="EF165" s="18" t="s">
        <v>113</v>
      </c>
      <c r="EG165" s="18" t="s">
        <v>5148</v>
      </c>
      <c r="EH165" s="18" t="s">
        <v>5203</v>
      </c>
      <c r="EI165" s="18" t="s">
        <v>5150</v>
      </c>
      <c r="EJ165" s="18" t="s">
        <v>5287</v>
      </c>
      <c r="EK165" s="18" t="s">
        <v>113</v>
      </c>
      <c r="EN165" s="18" t="s">
        <v>113</v>
      </c>
      <c r="EO165" s="18" t="s">
        <v>113</v>
      </c>
      <c r="EP165" s="18" t="s">
        <v>113</v>
      </c>
      <c r="EQ165" s="18" t="s">
        <v>113</v>
      </c>
      <c r="ER165" s="18" t="s">
        <v>5328</v>
      </c>
      <c r="ES165" s="18" t="s">
        <v>5498</v>
      </c>
      <c r="ET165" s="18" t="s">
        <v>5154</v>
      </c>
      <c r="EU165" s="18" t="s">
        <v>5155</v>
      </c>
      <c r="EV165" s="18" t="s">
        <v>5515</v>
      </c>
      <c r="EW165" s="18" t="s">
        <v>5208</v>
      </c>
      <c r="EX165" s="18" t="s">
        <v>5158</v>
      </c>
      <c r="EY165" s="18" t="s">
        <v>5800</v>
      </c>
      <c r="EZ165" s="18" t="s">
        <v>5160</v>
      </c>
      <c r="FA165" s="18" t="s">
        <v>144</v>
      </c>
      <c r="FB165" s="18" t="s">
        <v>5161</v>
      </c>
    </row>
    <row r="166" spans="1:158" ht="10.5" customHeight="1" x14ac:dyDescent="0.2">
      <c r="A166" s="16">
        <v>41</v>
      </c>
      <c r="B166" s="16" t="s">
        <v>1508</v>
      </c>
      <c r="C166" s="16" t="s">
        <v>1430</v>
      </c>
      <c r="D166" s="16">
        <v>47014</v>
      </c>
      <c r="E166" s="16" t="s">
        <v>6658</v>
      </c>
      <c r="F166" s="18" t="s">
        <v>1430</v>
      </c>
      <c r="G166" s="18" t="s">
        <v>106</v>
      </c>
      <c r="H166" s="15" t="s">
        <v>5127</v>
      </c>
      <c r="I166" s="18">
        <v>20</v>
      </c>
      <c r="J166" s="18">
        <v>13</v>
      </c>
      <c r="K166" s="18">
        <v>7</v>
      </c>
      <c r="L166" s="18">
        <v>0</v>
      </c>
      <c r="M166" s="18" t="s">
        <v>5183</v>
      </c>
      <c r="N166" s="18" t="s">
        <v>5801</v>
      </c>
      <c r="O166" s="18">
        <v>47630</v>
      </c>
      <c r="T166" s="18" t="s">
        <v>111</v>
      </c>
      <c r="U166" s="18" t="s">
        <v>5250</v>
      </c>
      <c r="V166" s="18" t="s">
        <v>106</v>
      </c>
      <c r="W166" s="18" t="s">
        <v>5124</v>
      </c>
      <c r="Y166" s="18" t="s">
        <v>5162</v>
      </c>
      <c r="Z166" s="18" t="s">
        <v>106</v>
      </c>
      <c r="AA166" s="18" t="s">
        <v>5163</v>
      </c>
      <c r="AB166" s="18" t="s">
        <v>5233</v>
      </c>
      <c r="AC166" s="18" t="s">
        <v>5127</v>
      </c>
      <c r="AD166" s="18" t="s">
        <v>111</v>
      </c>
      <c r="AE166" s="18" t="s">
        <v>111</v>
      </c>
      <c r="AF166" s="18" t="s">
        <v>111</v>
      </c>
      <c r="AG166" s="18" t="s">
        <v>5127</v>
      </c>
      <c r="AH166" s="18" t="s">
        <v>111</v>
      </c>
      <c r="AI166" s="18">
        <v>1</v>
      </c>
      <c r="AK166" s="18" t="s">
        <v>5128</v>
      </c>
      <c r="AN166" s="18">
        <v>779</v>
      </c>
      <c r="AO166" s="18" t="s">
        <v>5165</v>
      </c>
      <c r="AP166" s="18" t="s">
        <v>5802</v>
      </c>
      <c r="AQ166" s="18" t="s">
        <v>5711</v>
      </c>
      <c r="AR166" s="18" t="s">
        <v>5803</v>
      </c>
      <c r="AT166" s="17">
        <f>(365*D166*0.7)/1000</f>
        <v>12012.076999999999</v>
      </c>
      <c r="AU166" s="17">
        <f t="shared" si="5"/>
        <v>117</v>
      </c>
      <c r="AV166" s="18">
        <v>117</v>
      </c>
      <c r="AW166" s="18">
        <v>0</v>
      </c>
      <c r="AY166" s="18" t="s">
        <v>164</v>
      </c>
      <c r="AZ166" s="18">
        <v>0</v>
      </c>
      <c r="BA166" s="18">
        <v>0</v>
      </c>
      <c r="BB166" s="18">
        <v>0</v>
      </c>
      <c r="BD166" s="18">
        <v>0</v>
      </c>
      <c r="BE166" s="18">
        <v>0</v>
      </c>
      <c r="BG166" s="18" t="s">
        <v>5190</v>
      </c>
      <c r="BH166" s="18">
        <v>0</v>
      </c>
      <c r="BI166" s="18">
        <v>0</v>
      </c>
      <c r="BJ166" s="18">
        <v>0</v>
      </c>
      <c r="BQ166" s="18">
        <v>350</v>
      </c>
      <c r="BR166" s="18">
        <v>190</v>
      </c>
      <c r="BS166" s="18">
        <v>18</v>
      </c>
      <c r="BT166" s="18">
        <v>50</v>
      </c>
      <c r="BU166" s="18">
        <v>69</v>
      </c>
      <c r="BV166" s="18">
        <v>677</v>
      </c>
      <c r="BW166" s="15">
        <f t="shared" si="6"/>
        <v>677</v>
      </c>
      <c r="BY166" s="18" t="s">
        <v>5134</v>
      </c>
      <c r="BZ166" s="18" t="s">
        <v>5395</v>
      </c>
      <c r="CD166" s="18" t="s">
        <v>5127</v>
      </c>
      <c r="CE166" s="18" t="s">
        <v>111</v>
      </c>
      <c r="CF166" s="18" t="s">
        <v>5135</v>
      </c>
      <c r="CG166" s="18" t="s">
        <v>5804</v>
      </c>
      <c r="CH166" s="18" t="s">
        <v>5241</v>
      </c>
      <c r="CI166" s="18" t="s">
        <v>5138</v>
      </c>
      <c r="CJ166" s="18" t="s">
        <v>5196</v>
      </c>
      <c r="CK166" s="18" t="s">
        <v>5341</v>
      </c>
      <c r="CL166" s="18">
        <v>2</v>
      </c>
      <c r="CM166" s="18">
        <v>1</v>
      </c>
      <c r="CN166" s="18">
        <v>0</v>
      </c>
      <c r="CO166" s="18">
        <v>1</v>
      </c>
      <c r="CP166" s="18">
        <v>2</v>
      </c>
      <c r="CQ166" s="18">
        <v>1</v>
      </c>
      <c r="CR166" s="18">
        <v>0</v>
      </c>
      <c r="CS166" s="18">
        <v>2</v>
      </c>
      <c r="CT166" s="18">
        <v>0</v>
      </c>
      <c r="CU166" s="18">
        <v>1</v>
      </c>
      <c r="CV166" s="18">
        <v>0</v>
      </c>
      <c r="CX166" s="18">
        <v>2</v>
      </c>
      <c r="CY166" s="18">
        <v>1</v>
      </c>
      <c r="CZ166" s="18">
        <v>1</v>
      </c>
      <c r="DA166" s="18">
        <v>2</v>
      </c>
      <c r="DB166" s="18">
        <v>2</v>
      </c>
      <c r="DC166" s="18">
        <v>2</v>
      </c>
      <c r="DD166" s="18">
        <v>2</v>
      </c>
      <c r="DE166" s="18" t="s">
        <v>5141</v>
      </c>
      <c r="DF166" s="18" t="s">
        <v>5141</v>
      </c>
      <c r="DG166" s="18">
        <v>1</v>
      </c>
      <c r="DH166" s="18">
        <v>2</v>
      </c>
      <c r="DI166" s="18">
        <v>2</v>
      </c>
      <c r="DK166" s="18">
        <v>0</v>
      </c>
      <c r="DL166" s="18">
        <v>1</v>
      </c>
      <c r="DM166" s="18" t="s">
        <v>5127</v>
      </c>
      <c r="DN166" s="18" t="s">
        <v>5258</v>
      </c>
      <c r="DO166" s="18" t="s">
        <v>5220</v>
      </c>
      <c r="DP166" s="18" t="s">
        <v>113</v>
      </c>
      <c r="DQ166" s="18" t="s">
        <v>179</v>
      </c>
      <c r="DS166" s="18">
        <v>0</v>
      </c>
      <c r="DT166" s="18">
        <v>1</v>
      </c>
      <c r="DU166" s="18">
        <v>1</v>
      </c>
      <c r="DV166" s="18" t="s">
        <v>5260</v>
      </c>
      <c r="DX166" s="18" t="s">
        <v>5145</v>
      </c>
      <c r="DY166" s="18" t="s">
        <v>106</v>
      </c>
      <c r="DZ166" s="18" t="s">
        <v>113</v>
      </c>
      <c r="EA166" s="18" t="s">
        <v>5261</v>
      </c>
      <c r="EB166" s="18">
        <v>677</v>
      </c>
      <c r="EC166" s="18" t="s">
        <v>113</v>
      </c>
      <c r="ED166" s="18" t="s">
        <v>5147</v>
      </c>
      <c r="EE166" s="18" t="s">
        <v>113</v>
      </c>
      <c r="EF166" s="18" t="s">
        <v>113</v>
      </c>
      <c r="EG166" s="18" t="s">
        <v>5386</v>
      </c>
      <c r="EH166" s="18" t="s">
        <v>5203</v>
      </c>
      <c r="EI166" s="18" t="s">
        <v>5204</v>
      </c>
      <c r="EJ166" s="18" t="s">
        <v>5646</v>
      </c>
      <c r="EK166" s="18" t="s">
        <v>113</v>
      </c>
      <c r="EN166" s="18" t="s">
        <v>113</v>
      </c>
      <c r="EO166" s="18" t="s">
        <v>113</v>
      </c>
      <c r="EP166" s="18" t="s">
        <v>113</v>
      </c>
      <c r="EQ166" s="18" t="s">
        <v>113</v>
      </c>
      <c r="ER166" s="18" t="s">
        <v>5206</v>
      </c>
      <c r="ES166" s="18" t="s">
        <v>5153</v>
      </c>
      <c r="ET166" s="18" t="s">
        <v>5154</v>
      </c>
      <c r="EU166" s="18" t="s">
        <v>5155</v>
      </c>
      <c r="EV166" s="18" t="s">
        <v>5319</v>
      </c>
      <c r="EW166" s="18" t="s">
        <v>5805</v>
      </c>
      <c r="EX166" s="18" t="s">
        <v>5158</v>
      </c>
      <c r="EY166" s="18" t="s">
        <v>5806</v>
      </c>
      <c r="EZ166" s="18" t="s">
        <v>5160</v>
      </c>
      <c r="FA166" s="18" t="s">
        <v>144</v>
      </c>
      <c r="FB166" s="18" t="s">
        <v>5161</v>
      </c>
    </row>
    <row r="167" spans="1:158" ht="10.5" customHeight="1" x14ac:dyDescent="0.2">
      <c r="A167" s="16">
        <v>41</v>
      </c>
      <c r="B167" s="16" t="s">
        <v>1533</v>
      </c>
      <c r="C167" s="16" t="s">
        <v>1532</v>
      </c>
      <c r="D167" s="16">
        <v>9525</v>
      </c>
      <c r="E167" s="16" t="s">
        <v>6656</v>
      </c>
      <c r="F167" s="18" t="s">
        <v>1532</v>
      </c>
      <c r="G167" s="18" t="s">
        <v>106</v>
      </c>
      <c r="H167" s="15" t="s">
        <v>5127</v>
      </c>
      <c r="I167" s="18">
        <v>6</v>
      </c>
      <c r="J167" s="18">
        <v>2</v>
      </c>
      <c r="K167" s="18">
        <v>4</v>
      </c>
      <c r="L167" s="18">
        <v>0</v>
      </c>
      <c r="M167" s="18" t="s">
        <v>5230</v>
      </c>
      <c r="N167" s="18" t="s">
        <v>5807</v>
      </c>
      <c r="O167" s="18">
        <v>47050</v>
      </c>
      <c r="T167" s="18" t="s">
        <v>111</v>
      </c>
      <c r="U167" s="18" t="s">
        <v>5123</v>
      </c>
      <c r="V167" s="18" t="s">
        <v>113</v>
      </c>
      <c r="W167" s="18" t="s">
        <v>5211</v>
      </c>
      <c r="Y167" s="18" t="s">
        <v>5232</v>
      </c>
      <c r="Z167" s="18" t="s">
        <v>106</v>
      </c>
      <c r="AA167" s="18" t="s">
        <v>5163</v>
      </c>
      <c r="AB167" s="18" t="s">
        <v>179</v>
      </c>
      <c r="AC167" s="18" t="s">
        <v>5127</v>
      </c>
      <c r="AD167" s="18" t="s">
        <v>5127</v>
      </c>
      <c r="AE167" s="18" t="s">
        <v>5127</v>
      </c>
      <c r="AF167" s="18" t="s">
        <v>111</v>
      </c>
      <c r="AG167" s="18" t="s">
        <v>5127</v>
      </c>
      <c r="AH167" s="18" t="s">
        <v>111</v>
      </c>
      <c r="AI167" s="18">
        <v>1</v>
      </c>
      <c r="AK167" s="18" t="s">
        <v>5164</v>
      </c>
      <c r="AN167" s="18">
        <v>0</v>
      </c>
      <c r="AO167" s="18" t="s">
        <v>5186</v>
      </c>
      <c r="AP167" s="18" t="s">
        <v>5808</v>
      </c>
      <c r="AQ167" s="18" t="s">
        <v>5252</v>
      </c>
      <c r="AR167" s="18" t="s">
        <v>5221</v>
      </c>
      <c r="AT167" s="17">
        <f>(365*D167*0.7)/1000</f>
        <v>2433.6374999999998</v>
      </c>
      <c r="AU167" s="17">
        <f t="shared" si="5"/>
        <v>10</v>
      </c>
      <c r="AV167" s="18">
        <v>10</v>
      </c>
      <c r="AW167" s="18">
        <v>0</v>
      </c>
      <c r="AY167" s="18" t="s">
        <v>164</v>
      </c>
      <c r="AZ167" s="18">
        <v>0</v>
      </c>
      <c r="BA167" s="18">
        <v>0</v>
      </c>
      <c r="BB167" s="18">
        <v>0</v>
      </c>
      <c r="BD167" s="18">
        <f>100/1000</f>
        <v>0.1</v>
      </c>
      <c r="BE167" s="18">
        <v>0</v>
      </c>
      <c r="BG167" s="18" t="s">
        <v>5663</v>
      </c>
      <c r="BH167" s="18">
        <v>0</v>
      </c>
      <c r="BI167" s="18">
        <v>0</v>
      </c>
      <c r="BJ167" s="18">
        <v>0</v>
      </c>
      <c r="BQ167" s="18">
        <v>174</v>
      </c>
      <c r="BR167" s="18">
        <v>259</v>
      </c>
      <c r="BS167" s="18">
        <v>37</v>
      </c>
      <c r="BT167" s="18">
        <v>41</v>
      </c>
      <c r="BU167" s="18">
        <v>43</v>
      </c>
      <c r="BV167" s="18">
        <v>554</v>
      </c>
      <c r="BW167" s="15">
        <f t="shared" si="6"/>
        <v>554</v>
      </c>
      <c r="BY167" s="18" t="s">
        <v>5322</v>
      </c>
      <c r="BZ167" s="18" t="s">
        <v>5240</v>
      </c>
      <c r="CD167" s="18" t="s">
        <v>5127</v>
      </c>
      <c r="CE167" s="18" t="s">
        <v>111</v>
      </c>
      <c r="CF167" s="18" t="s">
        <v>5135</v>
      </c>
      <c r="CG167" s="18" t="s">
        <v>5809</v>
      </c>
      <c r="CH167" s="18" t="s">
        <v>5241</v>
      </c>
      <c r="CI167" s="18" t="s">
        <v>111</v>
      </c>
      <c r="CJ167" s="18" t="s">
        <v>5139</v>
      </c>
      <c r="CK167" s="18" t="s">
        <v>5197</v>
      </c>
      <c r="CL167" s="18">
        <v>1</v>
      </c>
      <c r="CM167" s="18">
        <v>0</v>
      </c>
      <c r="CN167" s="18">
        <v>0</v>
      </c>
      <c r="CO167" s="18">
        <v>1</v>
      </c>
      <c r="CP167" s="18">
        <v>0</v>
      </c>
      <c r="CQ167" s="18">
        <v>0</v>
      </c>
      <c r="CR167" s="18">
        <v>2</v>
      </c>
      <c r="CS167" s="18" t="s">
        <v>5141</v>
      </c>
      <c r="CT167" s="18">
        <v>0</v>
      </c>
      <c r="CU167" s="18">
        <v>0</v>
      </c>
      <c r="CV167" s="18">
        <v>0</v>
      </c>
      <c r="CX167" s="18">
        <v>0</v>
      </c>
      <c r="CY167" s="18">
        <v>1</v>
      </c>
      <c r="CZ167" s="18">
        <v>1</v>
      </c>
      <c r="DA167" s="18">
        <v>1</v>
      </c>
      <c r="DB167" s="18">
        <v>0</v>
      </c>
      <c r="DC167" s="18">
        <v>1</v>
      </c>
      <c r="DD167" s="18">
        <v>0</v>
      </c>
      <c r="DE167" s="18" t="s">
        <v>5141</v>
      </c>
      <c r="DF167" s="18" t="s">
        <v>5141</v>
      </c>
      <c r="DG167" s="18">
        <v>1</v>
      </c>
      <c r="DH167" s="18" t="s">
        <v>5141</v>
      </c>
      <c r="DI167" s="18" t="s">
        <v>5141</v>
      </c>
      <c r="DK167" s="18">
        <v>0</v>
      </c>
      <c r="DL167" s="18">
        <v>0</v>
      </c>
      <c r="DM167" s="18" t="s">
        <v>111</v>
      </c>
      <c r="DN167" s="18" t="s">
        <v>5314</v>
      </c>
      <c r="DO167" s="18" t="s">
        <v>5143</v>
      </c>
      <c r="DP167" s="18" t="s">
        <v>113</v>
      </c>
      <c r="DQ167" s="18" t="s">
        <v>5221</v>
      </c>
      <c r="DS167" s="18">
        <v>0</v>
      </c>
      <c r="DT167" s="18">
        <v>0</v>
      </c>
      <c r="DU167" s="18">
        <v>1</v>
      </c>
      <c r="DV167" s="18" t="s">
        <v>5592</v>
      </c>
      <c r="DX167" s="18" t="s">
        <v>5222</v>
      </c>
      <c r="DY167" s="18" t="s">
        <v>106</v>
      </c>
      <c r="DZ167" s="18" t="s">
        <v>113</v>
      </c>
      <c r="EA167" s="18" t="s">
        <v>5146</v>
      </c>
      <c r="EB167" s="18">
        <v>360</v>
      </c>
      <c r="EC167" s="18" t="s">
        <v>113</v>
      </c>
      <c r="ED167" s="18" t="s">
        <v>5147</v>
      </c>
      <c r="EE167" s="18" t="s">
        <v>113</v>
      </c>
      <c r="EF167" s="18" t="s">
        <v>113</v>
      </c>
      <c r="EG167" s="18" t="s">
        <v>5810</v>
      </c>
      <c r="EH167" s="18" t="s">
        <v>5203</v>
      </c>
      <c r="EI167" s="18" t="s">
        <v>5204</v>
      </c>
      <c r="EJ167" s="18" t="s">
        <v>5811</v>
      </c>
      <c r="EK167" s="18" t="s">
        <v>113</v>
      </c>
      <c r="EM167" s="18" t="s">
        <v>5227</v>
      </c>
      <c r="EN167" s="18" t="s">
        <v>113</v>
      </c>
      <c r="EO167" s="18" t="s">
        <v>113</v>
      </c>
      <c r="EP167" s="18" t="s">
        <v>113</v>
      </c>
      <c r="EQ167" s="18" t="s">
        <v>113</v>
      </c>
      <c r="ER167" s="18" t="s">
        <v>5155</v>
      </c>
      <c r="ES167" s="18" t="s">
        <v>5447</v>
      </c>
      <c r="ET167" s="18" t="s">
        <v>5154</v>
      </c>
      <c r="EU167" s="18" t="s">
        <v>5155</v>
      </c>
      <c r="EV167" s="18" t="s">
        <v>5647</v>
      </c>
      <c r="EW167" s="18" t="s">
        <v>5320</v>
      </c>
      <c r="EX167" s="18" t="s">
        <v>5158</v>
      </c>
      <c r="EY167" s="18" t="s">
        <v>5229</v>
      </c>
      <c r="EZ167" s="18" t="s">
        <v>5160</v>
      </c>
      <c r="FA167" s="18" t="s">
        <v>144</v>
      </c>
      <c r="FB167" s="18" t="s">
        <v>5161</v>
      </c>
    </row>
    <row r="168" spans="1:158" ht="10.5" customHeight="1" x14ac:dyDescent="0.2">
      <c r="A168" s="16">
        <v>41</v>
      </c>
      <c r="B168" s="16" t="s">
        <v>1550</v>
      </c>
      <c r="C168" s="16" t="s">
        <v>1549</v>
      </c>
      <c r="D168" s="16">
        <v>6484</v>
      </c>
      <c r="E168" s="16" t="s">
        <v>6656</v>
      </c>
      <c r="F168" s="18" t="s">
        <v>1549</v>
      </c>
      <c r="G168" s="18" t="s">
        <v>106</v>
      </c>
      <c r="H168" s="15" t="s">
        <v>5127</v>
      </c>
      <c r="I168" s="18" t="s">
        <v>1024</v>
      </c>
      <c r="J168" s="18" t="s">
        <v>4819</v>
      </c>
      <c r="K168" s="18" t="s">
        <v>4537</v>
      </c>
      <c r="M168" s="18" t="s">
        <v>5183</v>
      </c>
      <c r="N168" s="18" t="s">
        <v>5812</v>
      </c>
      <c r="T168" s="18" t="s">
        <v>111</v>
      </c>
      <c r="U168" s="18" t="s">
        <v>5250</v>
      </c>
      <c r="V168" s="18" t="s">
        <v>106</v>
      </c>
      <c r="W168" s="18" t="s">
        <v>5211</v>
      </c>
      <c r="Y168" s="18" t="s">
        <v>5212</v>
      </c>
      <c r="Z168" s="18" t="s">
        <v>106</v>
      </c>
      <c r="AA168" s="18" t="s">
        <v>5163</v>
      </c>
      <c r="AB168" s="18" t="s">
        <v>179</v>
      </c>
      <c r="AC168" s="18" t="s">
        <v>5127</v>
      </c>
      <c r="AD168" s="18" t="s">
        <v>5127</v>
      </c>
      <c r="AE168" s="18" t="s">
        <v>5127</v>
      </c>
      <c r="AF168" s="18" t="s">
        <v>5127</v>
      </c>
      <c r="AG168" s="18" t="s">
        <v>5127</v>
      </c>
      <c r="AH168" s="18" t="s">
        <v>5127</v>
      </c>
      <c r="AI168" s="18">
        <v>1</v>
      </c>
      <c r="AK168" s="18" t="s">
        <v>5164</v>
      </c>
      <c r="AN168" s="18">
        <v>646</v>
      </c>
      <c r="AO168" s="18" t="s">
        <v>5186</v>
      </c>
      <c r="AP168" s="18" t="s">
        <v>5813</v>
      </c>
      <c r="AQ168" s="18" t="s">
        <v>5814</v>
      </c>
      <c r="AR168" s="18" t="s">
        <v>5803</v>
      </c>
      <c r="AT168" s="17">
        <f>(365*D168*0.7)/1000</f>
        <v>1656.662</v>
      </c>
      <c r="AU168" s="17">
        <f t="shared" si="5"/>
        <v>120</v>
      </c>
      <c r="AV168" s="18">
        <f>120000/1000</f>
        <v>120</v>
      </c>
      <c r="AW168" s="18">
        <v>0</v>
      </c>
      <c r="AY168" s="18" t="s">
        <v>5334</v>
      </c>
      <c r="AZ168" s="18">
        <v>0</v>
      </c>
      <c r="BA168" s="18">
        <v>0</v>
      </c>
      <c r="BB168" s="18">
        <v>0</v>
      </c>
      <c r="BD168" s="18">
        <f>20000/1000</f>
        <v>20</v>
      </c>
      <c r="BE168" s="18">
        <v>0</v>
      </c>
      <c r="BG168" s="18" t="s">
        <v>5815</v>
      </c>
      <c r="BH168" s="18">
        <f>2000/1000</f>
        <v>2</v>
      </c>
      <c r="BI168" s="18">
        <v>0</v>
      </c>
      <c r="BJ168" s="18">
        <v>0</v>
      </c>
      <c r="BQ168" s="18">
        <v>200</v>
      </c>
      <c r="BR168" s="18">
        <v>280</v>
      </c>
      <c r="BS168" s="18">
        <v>12</v>
      </c>
      <c r="BT168" s="18">
        <v>50</v>
      </c>
      <c r="BU168" s="18">
        <v>0</v>
      </c>
      <c r="BV168" s="18">
        <f>SUM(BQ168:BU168)</f>
        <v>542</v>
      </c>
      <c r="BW168" s="15">
        <f t="shared" si="6"/>
        <v>542</v>
      </c>
      <c r="BY168" s="18" t="s">
        <v>5134</v>
      </c>
      <c r="BZ168" s="18" t="s">
        <v>5816</v>
      </c>
      <c r="CD168" s="18" t="s">
        <v>5127</v>
      </c>
      <c r="CE168" s="18" t="s">
        <v>5127</v>
      </c>
      <c r="CF168" s="18" t="s">
        <v>5135</v>
      </c>
      <c r="CG168" s="18" t="s">
        <v>5817</v>
      </c>
      <c r="CH168" s="18" t="s">
        <v>5284</v>
      </c>
      <c r="CI168" s="18" t="s">
        <v>5195</v>
      </c>
      <c r="CJ168" s="18" t="s">
        <v>5139</v>
      </c>
      <c r="CK168" s="18" t="s">
        <v>5341</v>
      </c>
      <c r="CL168" s="18">
        <v>2</v>
      </c>
      <c r="CM168" s="18">
        <v>0</v>
      </c>
      <c r="CN168" s="18">
        <v>0</v>
      </c>
      <c r="CO168" s="18">
        <v>0</v>
      </c>
      <c r="CP168" s="18">
        <v>0</v>
      </c>
      <c r="CQ168" s="18">
        <v>0</v>
      </c>
      <c r="CR168" s="18">
        <v>0</v>
      </c>
      <c r="CS168" s="18" t="s">
        <v>5141</v>
      </c>
      <c r="CT168" s="18">
        <v>0</v>
      </c>
      <c r="CU168" s="18">
        <v>0</v>
      </c>
      <c r="CV168" s="18">
        <v>0</v>
      </c>
      <c r="CX168" s="18">
        <v>1</v>
      </c>
      <c r="CY168" s="18">
        <v>1</v>
      </c>
      <c r="CZ168" s="18">
        <v>1</v>
      </c>
      <c r="DA168" s="18">
        <v>1</v>
      </c>
      <c r="DB168" s="18">
        <v>1</v>
      </c>
      <c r="DC168" s="18">
        <v>1</v>
      </c>
      <c r="DD168" s="18">
        <v>1</v>
      </c>
      <c r="DE168" s="18">
        <v>0</v>
      </c>
      <c r="DF168" s="18">
        <v>0</v>
      </c>
      <c r="DG168" s="18">
        <v>0</v>
      </c>
      <c r="DH168" s="18">
        <v>1</v>
      </c>
      <c r="DI168" s="18">
        <v>1</v>
      </c>
      <c r="DK168" s="18">
        <v>0</v>
      </c>
      <c r="DL168" s="18">
        <v>0</v>
      </c>
      <c r="DM168" s="18" t="s">
        <v>5127</v>
      </c>
      <c r="DN168" s="18" t="s">
        <v>5314</v>
      </c>
      <c r="DO168" s="18" t="s">
        <v>5143</v>
      </c>
      <c r="DP168" s="18" t="s">
        <v>106</v>
      </c>
      <c r="DQ168" s="18" t="s">
        <v>5168</v>
      </c>
      <c r="DS168" s="18">
        <v>0</v>
      </c>
      <c r="DT168" s="18">
        <v>0</v>
      </c>
      <c r="DU168" s="18">
        <v>1</v>
      </c>
      <c r="DV168" s="18" t="s">
        <v>5818</v>
      </c>
      <c r="DX168" s="18" t="s">
        <v>5201</v>
      </c>
      <c r="DY168" s="18" t="s">
        <v>106</v>
      </c>
      <c r="DZ168" s="18" t="s">
        <v>106</v>
      </c>
      <c r="EA168" s="18" t="s">
        <v>5175</v>
      </c>
      <c r="EB168" s="18">
        <v>526</v>
      </c>
      <c r="EC168" s="18" t="s">
        <v>106</v>
      </c>
      <c r="ED168" s="18" t="s">
        <v>5176</v>
      </c>
      <c r="EE168" s="18" t="s">
        <v>113</v>
      </c>
      <c r="EF168" s="18" t="s">
        <v>113</v>
      </c>
      <c r="EG168" s="18" t="s">
        <v>5326</v>
      </c>
      <c r="EH168" s="18" t="s">
        <v>5203</v>
      </c>
      <c r="EI168" s="18" t="s">
        <v>5204</v>
      </c>
      <c r="EJ168" s="18" t="s">
        <v>5245</v>
      </c>
      <c r="EK168" s="18" t="s">
        <v>113</v>
      </c>
      <c r="EM168" s="18" t="s">
        <v>5227</v>
      </c>
      <c r="EN168" s="18" t="s">
        <v>113</v>
      </c>
      <c r="EO168" s="18" t="s">
        <v>113</v>
      </c>
      <c r="EP168" s="18" t="s">
        <v>113</v>
      </c>
      <c r="EQ168" s="18" t="s">
        <v>113</v>
      </c>
      <c r="ER168" s="18" t="s">
        <v>5152</v>
      </c>
      <c r="ES168" s="18" t="s">
        <v>5153</v>
      </c>
      <c r="ET168" s="18" t="s">
        <v>5154</v>
      </c>
      <c r="EU168" s="18" t="s">
        <v>5155</v>
      </c>
      <c r="EV168" s="18" t="s">
        <v>5647</v>
      </c>
      <c r="EW168" s="18" t="s">
        <v>5470</v>
      </c>
      <c r="EX168" s="18" t="s">
        <v>5158</v>
      </c>
      <c r="EY168" s="18" t="s">
        <v>5347</v>
      </c>
      <c r="EZ168" s="18" t="s">
        <v>5160</v>
      </c>
      <c r="FA168" s="18" t="s">
        <v>144</v>
      </c>
      <c r="FB168" s="18" t="s">
        <v>5161</v>
      </c>
    </row>
    <row r="169" spans="1:158" ht="10.5" customHeight="1" x14ac:dyDescent="0.2">
      <c r="A169" s="16">
        <v>41</v>
      </c>
      <c r="B169" s="16" t="s">
        <v>1832</v>
      </c>
      <c r="C169" s="16" t="s">
        <v>1833</v>
      </c>
      <c r="D169" s="16">
        <v>5773</v>
      </c>
      <c r="E169" s="16" t="s">
        <v>6656</v>
      </c>
      <c r="H169" s="15" t="s">
        <v>6661</v>
      </c>
      <c r="AT169" s="17">
        <f>(365*D169*0.7)/1000</f>
        <v>1475.0015000000001</v>
      </c>
      <c r="AU169" s="17">
        <f t="shared" si="5"/>
        <v>0</v>
      </c>
      <c r="BW169" s="15">
        <f t="shared" si="6"/>
        <v>0</v>
      </c>
    </row>
    <row r="170" spans="1:158" ht="10.5" customHeight="1" x14ac:dyDescent="0.2">
      <c r="A170" s="16">
        <v>41</v>
      </c>
      <c r="B170" s="16" t="s">
        <v>1924</v>
      </c>
      <c r="C170" s="16" t="s">
        <v>1925</v>
      </c>
      <c r="D170" s="16">
        <v>6070</v>
      </c>
      <c r="E170" s="16" t="s">
        <v>6656</v>
      </c>
      <c r="H170" s="15" t="s">
        <v>6661</v>
      </c>
      <c r="AT170" s="17">
        <f>(365*D170*0.7)/1000</f>
        <v>1550.885</v>
      </c>
      <c r="AU170" s="17">
        <f t="shared" si="5"/>
        <v>0</v>
      </c>
      <c r="BW170" s="15">
        <f t="shared" si="6"/>
        <v>0</v>
      </c>
    </row>
    <row r="171" spans="1:158" ht="10.5" customHeight="1" x14ac:dyDescent="0.2">
      <c r="A171" s="16">
        <v>41</v>
      </c>
      <c r="B171" s="16" t="s">
        <v>1563</v>
      </c>
      <c r="C171" s="16" t="s">
        <v>1562</v>
      </c>
      <c r="D171" s="16">
        <v>12431</v>
      </c>
      <c r="E171" s="16" t="s">
        <v>6656</v>
      </c>
      <c r="F171" s="18" t="s">
        <v>1562</v>
      </c>
      <c r="G171" s="18" t="s">
        <v>113</v>
      </c>
      <c r="H171" s="15" t="s">
        <v>111</v>
      </c>
      <c r="AT171" s="17">
        <f>(365*D171*0.7)/1000</f>
        <v>3176.1205</v>
      </c>
      <c r="AU171" s="17">
        <f t="shared" si="5"/>
        <v>0</v>
      </c>
      <c r="BW171" s="15">
        <f t="shared" si="6"/>
        <v>0</v>
      </c>
    </row>
    <row r="172" spans="1:158" ht="10.5" customHeight="1" x14ac:dyDescent="0.2">
      <c r="A172" s="16">
        <v>41</v>
      </c>
      <c r="B172" s="16" t="s">
        <v>1576</v>
      </c>
      <c r="C172" s="16" t="s">
        <v>1575</v>
      </c>
      <c r="D172" s="16">
        <v>4729</v>
      </c>
      <c r="E172" s="16" t="s">
        <v>6656</v>
      </c>
      <c r="F172" s="18" t="s">
        <v>1575</v>
      </c>
      <c r="G172" s="18" t="s">
        <v>106</v>
      </c>
      <c r="H172" s="15" t="s">
        <v>5127</v>
      </c>
      <c r="I172" s="18">
        <v>9</v>
      </c>
      <c r="J172" s="18">
        <v>6</v>
      </c>
      <c r="K172" s="18">
        <v>3</v>
      </c>
      <c r="L172" s="18">
        <v>0</v>
      </c>
      <c r="M172" s="18" t="s">
        <v>5183</v>
      </c>
      <c r="N172" s="18" t="s">
        <v>5819</v>
      </c>
      <c r="O172" s="18">
        <v>46398</v>
      </c>
      <c r="T172" s="18" t="s">
        <v>5240</v>
      </c>
      <c r="U172" s="18" t="s">
        <v>5185</v>
      </c>
      <c r="V172" s="18" t="s">
        <v>106</v>
      </c>
      <c r="W172" s="18" t="s">
        <v>5211</v>
      </c>
      <c r="Y172" s="18" t="s">
        <v>5232</v>
      </c>
      <c r="Z172" s="18" t="s">
        <v>106</v>
      </c>
      <c r="AA172" s="18" t="s">
        <v>5163</v>
      </c>
      <c r="AB172" s="18" t="s">
        <v>179</v>
      </c>
      <c r="AC172" s="18" t="s">
        <v>5127</v>
      </c>
      <c r="AD172" s="18" t="s">
        <v>5127</v>
      </c>
      <c r="AE172" s="18" t="s">
        <v>5127</v>
      </c>
      <c r="AF172" s="18" t="s">
        <v>5127</v>
      </c>
      <c r="AG172" s="18" t="s">
        <v>5127</v>
      </c>
      <c r="AH172" s="18" t="s">
        <v>5127</v>
      </c>
      <c r="AI172" s="18">
        <v>1</v>
      </c>
      <c r="AK172" s="18" t="s">
        <v>5164</v>
      </c>
      <c r="AN172" s="18">
        <v>280</v>
      </c>
      <c r="AO172" s="18" t="s">
        <v>5186</v>
      </c>
      <c r="AP172" s="18" t="s">
        <v>5820</v>
      </c>
      <c r="AQ172" s="18" t="s">
        <v>164</v>
      </c>
      <c r="AR172" s="18" t="s">
        <v>5168</v>
      </c>
      <c r="AT172" s="17">
        <f>(365*D172*0.7)/1000</f>
        <v>1208.2594999999999</v>
      </c>
      <c r="AU172" s="17">
        <f t="shared" si="5"/>
        <v>25.571999999999999</v>
      </c>
      <c r="AV172" s="18">
        <f>25572/1000</f>
        <v>25.571999999999999</v>
      </c>
      <c r="AW172" s="18">
        <v>0</v>
      </c>
      <c r="AY172" s="18" t="s">
        <v>5821</v>
      </c>
      <c r="BG172" s="18" t="s">
        <v>5190</v>
      </c>
      <c r="BQ172" s="18">
        <v>83</v>
      </c>
      <c r="BR172" s="18">
        <v>88</v>
      </c>
      <c r="BS172" s="18">
        <v>25</v>
      </c>
      <c r="BT172" s="18">
        <v>27</v>
      </c>
      <c r="BU172" s="18">
        <v>0</v>
      </c>
      <c r="BV172" s="18">
        <f>SUM(BQ172:BU172)</f>
        <v>223</v>
      </c>
      <c r="BW172" s="15">
        <f t="shared" si="6"/>
        <v>223</v>
      </c>
      <c r="BY172" s="18" t="s">
        <v>5134</v>
      </c>
      <c r="BZ172" s="18" t="s">
        <v>5240</v>
      </c>
      <c r="CD172" s="18" t="s">
        <v>5127</v>
      </c>
      <c r="CE172" s="18" t="s">
        <v>111</v>
      </c>
      <c r="CF172" s="18" t="s">
        <v>5135</v>
      </c>
      <c r="CG172" s="18" t="s">
        <v>5193</v>
      </c>
      <c r="CH172" s="18" t="s">
        <v>5194</v>
      </c>
      <c r="CI172" s="18" t="s">
        <v>5138</v>
      </c>
      <c r="CJ172" s="18" t="s">
        <v>5680</v>
      </c>
      <c r="CK172" s="18" t="s">
        <v>5197</v>
      </c>
      <c r="CL172" s="18">
        <v>3</v>
      </c>
      <c r="CM172" s="18">
        <v>0</v>
      </c>
      <c r="CN172" s="18">
        <v>0</v>
      </c>
      <c r="CO172" s="18">
        <v>1</v>
      </c>
      <c r="CP172" s="18">
        <v>0</v>
      </c>
      <c r="CQ172" s="18">
        <v>0</v>
      </c>
      <c r="CR172" s="18">
        <v>0</v>
      </c>
      <c r="CS172" s="18" t="s">
        <v>5141</v>
      </c>
      <c r="CT172" s="18">
        <v>1</v>
      </c>
      <c r="CU172" s="18">
        <v>0</v>
      </c>
      <c r="CV172" s="18">
        <v>0</v>
      </c>
      <c r="CX172" s="18">
        <v>0</v>
      </c>
      <c r="CY172" s="18">
        <v>1</v>
      </c>
      <c r="CZ172" s="18">
        <v>0</v>
      </c>
      <c r="DA172" s="18">
        <v>1</v>
      </c>
      <c r="DB172" s="18">
        <v>1</v>
      </c>
      <c r="DC172" s="18">
        <v>1</v>
      </c>
      <c r="DD172" s="18">
        <v>1</v>
      </c>
      <c r="DE172" s="18">
        <v>0</v>
      </c>
      <c r="DF172" s="18">
        <v>1</v>
      </c>
      <c r="DG172" s="18">
        <v>0</v>
      </c>
      <c r="DH172" s="18">
        <v>1</v>
      </c>
      <c r="DI172" s="18">
        <v>1</v>
      </c>
      <c r="DK172" s="18">
        <v>0</v>
      </c>
      <c r="DL172" s="18">
        <v>1</v>
      </c>
      <c r="DM172" s="18" t="s">
        <v>5127</v>
      </c>
      <c r="DN172" s="18" t="s">
        <v>5172</v>
      </c>
      <c r="DO172" s="18" t="s">
        <v>5742</v>
      </c>
      <c r="DP172" s="18" t="s">
        <v>113</v>
      </c>
      <c r="DQ172" s="18" t="s">
        <v>5168</v>
      </c>
      <c r="DS172" s="18">
        <v>0</v>
      </c>
      <c r="DT172" s="18">
        <v>0</v>
      </c>
      <c r="DU172" s="18">
        <v>1</v>
      </c>
      <c r="DV172" s="18" t="s">
        <v>5822</v>
      </c>
      <c r="DX172" s="18" t="s">
        <v>5222</v>
      </c>
      <c r="DY172" s="18" t="s">
        <v>106</v>
      </c>
      <c r="DZ172" s="18" t="s">
        <v>113</v>
      </c>
      <c r="EA172" s="18" t="s">
        <v>5175</v>
      </c>
      <c r="EB172" s="18">
        <v>280</v>
      </c>
      <c r="EC172" s="18" t="s">
        <v>106</v>
      </c>
      <c r="ED172" s="18" t="s">
        <v>5176</v>
      </c>
      <c r="EE172" s="18" t="s">
        <v>106</v>
      </c>
      <c r="EF172" s="18" t="s">
        <v>113</v>
      </c>
      <c r="EG172" s="18" t="s">
        <v>5404</v>
      </c>
      <c r="EH172" s="18" t="s">
        <v>5203</v>
      </c>
      <c r="EI172" s="18" t="s">
        <v>5204</v>
      </c>
      <c r="EJ172" s="18" t="s">
        <v>5287</v>
      </c>
      <c r="EK172" s="18" t="s">
        <v>113</v>
      </c>
      <c r="EL172" s="18" t="s">
        <v>5823</v>
      </c>
      <c r="EM172" s="18" t="s">
        <v>5274</v>
      </c>
      <c r="EN172" s="18" t="s">
        <v>113</v>
      </c>
      <c r="EO172" s="18" t="s">
        <v>113</v>
      </c>
      <c r="EP172" s="18" t="s">
        <v>113</v>
      </c>
      <c r="EQ172" s="18" t="s">
        <v>113</v>
      </c>
      <c r="ER172" s="18" t="s">
        <v>5155</v>
      </c>
      <c r="ES172" s="18" t="s">
        <v>5447</v>
      </c>
      <c r="ET172" s="18" t="s">
        <v>5154</v>
      </c>
      <c r="EU172" s="18" t="s">
        <v>5155</v>
      </c>
      <c r="EV172" s="18" t="s">
        <v>5608</v>
      </c>
      <c r="EW172" s="18" t="s">
        <v>5406</v>
      </c>
      <c r="EX172" s="18" t="s">
        <v>5158</v>
      </c>
      <c r="EY172" s="18" t="s">
        <v>5248</v>
      </c>
      <c r="EZ172" s="18" t="s">
        <v>5160</v>
      </c>
      <c r="FA172" s="18" t="s">
        <v>144</v>
      </c>
      <c r="FB172" s="18" t="s">
        <v>5161</v>
      </c>
    </row>
    <row r="173" spans="1:158" ht="10.5" customHeight="1" x14ac:dyDescent="0.2">
      <c r="A173" s="16">
        <v>41</v>
      </c>
      <c r="B173" s="16" t="s">
        <v>1591</v>
      </c>
      <c r="C173" s="16" t="s">
        <v>1590</v>
      </c>
      <c r="D173" s="16">
        <v>1858</v>
      </c>
      <c r="E173" s="16" t="s">
        <v>6656</v>
      </c>
      <c r="F173" s="18" t="s">
        <v>1590</v>
      </c>
      <c r="G173" s="18" t="s">
        <v>113</v>
      </c>
      <c r="H173" s="15" t="s">
        <v>111</v>
      </c>
      <c r="AT173" s="17">
        <f>(365*D173*0.7)/1000</f>
        <v>474.71899999999994</v>
      </c>
      <c r="AU173" s="17">
        <f t="shared" si="5"/>
        <v>0</v>
      </c>
      <c r="BW173" s="15">
        <f t="shared" si="6"/>
        <v>0</v>
      </c>
    </row>
    <row r="174" spans="1:158" ht="10.5" customHeight="1" x14ac:dyDescent="0.2">
      <c r="A174" s="16">
        <v>41</v>
      </c>
      <c r="B174" s="16" t="s">
        <v>1600</v>
      </c>
      <c r="C174" s="16" t="s">
        <v>1599</v>
      </c>
      <c r="D174" s="16">
        <v>4881</v>
      </c>
      <c r="E174" s="16" t="s">
        <v>6656</v>
      </c>
      <c r="F174" s="18" t="s">
        <v>1599</v>
      </c>
      <c r="G174" s="18" t="s">
        <v>113</v>
      </c>
      <c r="H174" s="15" t="s">
        <v>111</v>
      </c>
      <c r="AT174" s="17">
        <f>(365*D174*0.7)/1000</f>
        <v>1247.0954999999999</v>
      </c>
      <c r="AU174" s="17">
        <f t="shared" si="5"/>
        <v>0</v>
      </c>
      <c r="BW174" s="15">
        <f t="shared" si="6"/>
        <v>0</v>
      </c>
    </row>
    <row r="175" spans="1:158" ht="10.5" customHeight="1" x14ac:dyDescent="0.2">
      <c r="A175" s="16">
        <v>41</v>
      </c>
      <c r="B175" s="16" t="s">
        <v>1615</v>
      </c>
      <c r="C175" s="16" t="s">
        <v>1614</v>
      </c>
      <c r="D175" s="16">
        <v>3023</v>
      </c>
      <c r="E175" s="16" t="s">
        <v>6656</v>
      </c>
      <c r="F175" s="18" t="s">
        <v>1614</v>
      </c>
      <c r="G175" s="18" t="s">
        <v>106</v>
      </c>
      <c r="H175" s="15" t="s">
        <v>5127</v>
      </c>
      <c r="I175" s="18">
        <v>8</v>
      </c>
      <c r="J175" s="18">
        <v>8</v>
      </c>
      <c r="K175" s="18">
        <v>0</v>
      </c>
      <c r="M175" s="18" t="s">
        <v>5183</v>
      </c>
      <c r="N175" s="18" t="s">
        <v>5824</v>
      </c>
      <c r="O175" s="18">
        <v>46225</v>
      </c>
      <c r="T175" s="18" t="s">
        <v>111</v>
      </c>
      <c r="U175" s="18" t="s">
        <v>5250</v>
      </c>
      <c r="V175" s="18" t="s">
        <v>113</v>
      </c>
      <c r="W175" s="18" t="s">
        <v>5124</v>
      </c>
      <c r="Y175" s="18" t="s">
        <v>5555</v>
      </c>
      <c r="Z175" s="18" t="s">
        <v>106</v>
      </c>
      <c r="AA175" s="18" t="s">
        <v>5163</v>
      </c>
      <c r="AB175" s="18" t="s">
        <v>179</v>
      </c>
      <c r="AC175" s="18" t="s">
        <v>111</v>
      </c>
      <c r="AD175" s="18" t="s">
        <v>5127</v>
      </c>
      <c r="AE175" s="18" t="s">
        <v>111</v>
      </c>
      <c r="AF175" s="18" t="s">
        <v>111</v>
      </c>
      <c r="AG175" s="18" t="s">
        <v>5127</v>
      </c>
      <c r="AH175" s="18" t="s">
        <v>111</v>
      </c>
      <c r="AI175" s="18">
        <v>0</v>
      </c>
      <c r="AK175" s="18" t="s">
        <v>5145</v>
      </c>
      <c r="AN175" s="18">
        <v>140</v>
      </c>
      <c r="AO175" s="18" t="s">
        <v>5129</v>
      </c>
      <c r="AP175" s="18" t="s">
        <v>5825</v>
      </c>
      <c r="AQ175" s="18" t="s">
        <v>5826</v>
      </c>
      <c r="AR175" s="18" t="s">
        <v>5168</v>
      </c>
      <c r="AT175" s="17">
        <f>(365*D175*0.7)/1000</f>
        <v>772.37649999999996</v>
      </c>
      <c r="AU175" s="17">
        <f t="shared" si="5"/>
        <v>9</v>
      </c>
      <c r="AV175" s="18">
        <v>9</v>
      </c>
      <c r="AW175" s="18">
        <v>0</v>
      </c>
      <c r="AY175" s="18" t="s">
        <v>164</v>
      </c>
      <c r="BG175" s="18" t="s">
        <v>5827</v>
      </c>
      <c r="BQ175" s="18">
        <v>50</v>
      </c>
      <c r="BR175" s="18">
        <v>35</v>
      </c>
      <c r="BS175" s="18">
        <v>24</v>
      </c>
      <c r="BT175" s="18">
        <v>7.8</v>
      </c>
      <c r="BU175" s="18">
        <v>14</v>
      </c>
      <c r="BV175" s="18">
        <v>131</v>
      </c>
      <c r="BW175" s="15">
        <f t="shared" si="6"/>
        <v>130.80000000000001</v>
      </c>
      <c r="BY175" s="18" t="s">
        <v>5134</v>
      </c>
      <c r="BZ175" s="18" t="s">
        <v>5395</v>
      </c>
      <c r="CD175" s="18" t="s">
        <v>5127</v>
      </c>
      <c r="CE175" s="18" t="s">
        <v>111</v>
      </c>
      <c r="CF175" s="18" t="s">
        <v>5135</v>
      </c>
      <c r="CG175" s="18" t="s">
        <v>5401</v>
      </c>
      <c r="CH175" s="18" t="s">
        <v>5241</v>
      </c>
      <c r="CI175" s="18" t="s">
        <v>5138</v>
      </c>
      <c r="CJ175" s="18" t="s">
        <v>5139</v>
      </c>
      <c r="CK175" s="18" t="s">
        <v>5197</v>
      </c>
      <c r="CL175" s="18">
        <v>1</v>
      </c>
      <c r="CM175" s="18">
        <v>0</v>
      </c>
      <c r="CN175" s="18">
        <v>0</v>
      </c>
      <c r="CO175" s="18">
        <v>1</v>
      </c>
      <c r="CP175" s="18">
        <v>1</v>
      </c>
      <c r="CQ175" s="18">
        <v>0</v>
      </c>
      <c r="CR175" s="18">
        <v>0</v>
      </c>
      <c r="CS175" s="18">
        <v>0</v>
      </c>
      <c r="CT175" s="18">
        <v>0</v>
      </c>
      <c r="CU175" s="18">
        <v>0</v>
      </c>
      <c r="CV175" s="18">
        <v>0</v>
      </c>
      <c r="CX175" s="18">
        <v>1</v>
      </c>
      <c r="CY175" s="18">
        <v>1</v>
      </c>
      <c r="CZ175" s="18">
        <v>0</v>
      </c>
      <c r="DA175" s="18">
        <v>1</v>
      </c>
      <c r="DB175" s="18">
        <v>1</v>
      </c>
      <c r="DC175" s="18">
        <v>1</v>
      </c>
      <c r="DD175" s="18">
        <v>1</v>
      </c>
      <c r="DE175" s="18">
        <v>1</v>
      </c>
      <c r="DF175" s="18">
        <v>1</v>
      </c>
      <c r="DG175" s="18">
        <v>1</v>
      </c>
      <c r="DH175" s="18">
        <v>1</v>
      </c>
      <c r="DI175" s="18">
        <v>1</v>
      </c>
      <c r="DK175" s="18">
        <v>0</v>
      </c>
      <c r="DL175" s="18">
        <v>1</v>
      </c>
      <c r="DM175" s="18" t="s">
        <v>5127</v>
      </c>
      <c r="DN175" s="18" t="s">
        <v>5142</v>
      </c>
      <c r="DO175" s="18" t="s">
        <v>5481</v>
      </c>
      <c r="DP175" s="18" t="s">
        <v>113</v>
      </c>
      <c r="DS175" s="18">
        <v>0</v>
      </c>
      <c r="DT175" s="18">
        <v>0</v>
      </c>
      <c r="DU175" s="18">
        <v>1</v>
      </c>
      <c r="DV175" s="18" t="s">
        <v>5260</v>
      </c>
      <c r="DX175" s="18" t="s">
        <v>5201</v>
      </c>
      <c r="DY175" s="18" t="s">
        <v>106</v>
      </c>
      <c r="DZ175" s="18" t="s">
        <v>113</v>
      </c>
      <c r="EA175" s="18" t="s">
        <v>5285</v>
      </c>
      <c r="EB175" s="18">
        <v>131</v>
      </c>
      <c r="EC175" s="18" t="s">
        <v>113</v>
      </c>
      <c r="ED175" s="18" t="s">
        <v>5147</v>
      </c>
      <c r="EH175" s="18" t="s">
        <v>5203</v>
      </c>
      <c r="EI175" s="18" t="s">
        <v>5204</v>
      </c>
      <c r="EN175" s="18" t="s">
        <v>113</v>
      </c>
      <c r="ER175" s="18" t="s">
        <v>5152</v>
      </c>
      <c r="EX175" s="18" t="s">
        <v>5158</v>
      </c>
      <c r="EY175" s="18" t="s">
        <v>5181</v>
      </c>
      <c r="EZ175" s="18" t="s">
        <v>5160</v>
      </c>
      <c r="FA175" s="18" t="s">
        <v>144</v>
      </c>
      <c r="FB175" s="18" t="s">
        <v>5161</v>
      </c>
    </row>
    <row r="176" spans="1:158" ht="10.5" customHeight="1" x14ac:dyDescent="0.2">
      <c r="A176" s="16">
        <v>41</v>
      </c>
      <c r="B176" s="16" t="s">
        <v>1628</v>
      </c>
      <c r="C176" s="16" t="s">
        <v>1627</v>
      </c>
      <c r="D176" s="16">
        <v>16618</v>
      </c>
      <c r="E176" s="16" t="s">
        <v>6658</v>
      </c>
      <c r="F176" s="18" t="s">
        <v>1627</v>
      </c>
      <c r="G176" s="18" t="s">
        <v>106</v>
      </c>
      <c r="H176" s="15" t="s">
        <v>5127</v>
      </c>
      <c r="I176" s="18">
        <v>5</v>
      </c>
      <c r="J176" s="18">
        <v>1</v>
      </c>
      <c r="K176" s="18">
        <v>4</v>
      </c>
      <c r="L176" s="18">
        <v>0</v>
      </c>
      <c r="M176" s="18" t="s">
        <v>5183</v>
      </c>
      <c r="N176" s="18" t="s">
        <v>5828</v>
      </c>
      <c r="O176" s="18">
        <v>45976</v>
      </c>
      <c r="T176" s="18" t="s">
        <v>111</v>
      </c>
      <c r="U176" s="18" t="s">
        <v>5123</v>
      </c>
      <c r="V176" s="18" t="s">
        <v>113</v>
      </c>
      <c r="W176" s="18" t="s">
        <v>5211</v>
      </c>
      <c r="Y176" s="18" t="s">
        <v>5232</v>
      </c>
      <c r="Z176" s="18" t="s">
        <v>113</v>
      </c>
      <c r="AA176" s="18" t="s">
        <v>5163</v>
      </c>
      <c r="AB176" s="18" t="s">
        <v>179</v>
      </c>
      <c r="AC176" s="18" t="s">
        <v>111</v>
      </c>
      <c r="AD176" s="18" t="s">
        <v>111</v>
      </c>
      <c r="AE176" s="18" t="s">
        <v>111</v>
      </c>
      <c r="AF176" s="18" t="s">
        <v>111</v>
      </c>
      <c r="AG176" s="18" t="s">
        <v>111</v>
      </c>
      <c r="AH176" s="18" t="s">
        <v>111</v>
      </c>
      <c r="AI176" s="18">
        <v>1</v>
      </c>
      <c r="AK176" s="18" t="s">
        <v>5279</v>
      </c>
      <c r="AN176" s="18">
        <v>0</v>
      </c>
      <c r="AO176" s="18" t="s">
        <v>5186</v>
      </c>
      <c r="AP176" s="18" t="s">
        <v>5829</v>
      </c>
      <c r="AQ176" s="18" t="s">
        <v>164</v>
      </c>
      <c r="AR176" s="18" t="s">
        <v>5168</v>
      </c>
      <c r="AT176" s="17">
        <f>(365*D176*0.7)/1000</f>
        <v>4245.8990000000003</v>
      </c>
      <c r="AU176" s="17">
        <f t="shared" si="5"/>
        <v>0</v>
      </c>
      <c r="AV176" s="18">
        <v>0</v>
      </c>
      <c r="AW176" s="18">
        <v>0</v>
      </c>
      <c r="AY176" s="18" t="s">
        <v>5548</v>
      </c>
      <c r="AZ176" s="18">
        <v>0</v>
      </c>
      <c r="BA176" s="18">
        <v>0</v>
      </c>
      <c r="BB176" s="18">
        <v>0</v>
      </c>
      <c r="BD176" s="18">
        <v>0</v>
      </c>
      <c r="BE176" s="18">
        <v>0</v>
      </c>
      <c r="BG176" s="18" t="s">
        <v>5830</v>
      </c>
      <c r="BH176" s="18">
        <v>0</v>
      </c>
      <c r="BI176" s="18">
        <v>0</v>
      </c>
      <c r="BJ176" s="18">
        <v>0</v>
      </c>
      <c r="BQ176" s="18">
        <v>0</v>
      </c>
      <c r="BR176" s="18">
        <v>0</v>
      </c>
      <c r="BS176" s="18">
        <v>0</v>
      </c>
      <c r="BT176" s="18">
        <v>0</v>
      </c>
      <c r="BU176" s="18">
        <v>0</v>
      </c>
      <c r="BV176" s="18">
        <v>0</v>
      </c>
      <c r="BW176" s="15">
        <f t="shared" si="6"/>
        <v>0</v>
      </c>
      <c r="BY176" s="18" t="s">
        <v>5322</v>
      </c>
      <c r="BZ176" s="18" t="s">
        <v>193</v>
      </c>
      <c r="CD176" s="18" t="s">
        <v>5127</v>
      </c>
      <c r="CE176" s="18" t="s">
        <v>5127</v>
      </c>
      <c r="CF176" s="18" t="s">
        <v>5135</v>
      </c>
      <c r="CG176" s="18" t="s">
        <v>5809</v>
      </c>
      <c r="CH176" s="18" t="s">
        <v>111</v>
      </c>
      <c r="CI176" s="18" t="s">
        <v>111</v>
      </c>
      <c r="CJ176" s="18" t="s">
        <v>5139</v>
      </c>
      <c r="CK176" s="18" t="s">
        <v>179</v>
      </c>
      <c r="CL176" s="18">
        <v>1</v>
      </c>
      <c r="CM176" s="18">
        <v>1</v>
      </c>
      <c r="CN176" s="18">
        <v>0</v>
      </c>
      <c r="CO176" s="18">
        <v>1</v>
      </c>
      <c r="CP176" s="18">
        <v>1</v>
      </c>
      <c r="CQ176" s="18">
        <v>1</v>
      </c>
      <c r="CR176" s="18">
        <v>0</v>
      </c>
      <c r="CS176" s="18">
        <v>1</v>
      </c>
      <c r="CT176" s="18">
        <v>1</v>
      </c>
      <c r="CU176" s="18">
        <v>1</v>
      </c>
      <c r="CV176" s="18">
        <v>1</v>
      </c>
      <c r="CX176" s="18">
        <v>1</v>
      </c>
      <c r="CY176" s="18">
        <v>1</v>
      </c>
      <c r="CZ176" s="18">
        <v>1</v>
      </c>
      <c r="DA176" s="18">
        <v>1</v>
      </c>
      <c r="DB176" s="18">
        <v>1</v>
      </c>
      <c r="DC176" s="18">
        <v>1</v>
      </c>
      <c r="DD176" s="18">
        <v>1</v>
      </c>
      <c r="DE176" s="18">
        <v>1</v>
      </c>
      <c r="DF176" s="18">
        <v>1</v>
      </c>
      <c r="DG176" s="18">
        <v>1</v>
      </c>
      <c r="DH176" s="18">
        <v>1</v>
      </c>
      <c r="DI176" s="18">
        <v>1</v>
      </c>
      <c r="DK176" s="18">
        <v>0</v>
      </c>
      <c r="DL176" s="18">
        <v>1</v>
      </c>
      <c r="DM176" s="18" t="s">
        <v>111</v>
      </c>
      <c r="DN176" s="18" t="s">
        <v>5172</v>
      </c>
      <c r="DO176" s="18" t="s">
        <v>5300</v>
      </c>
      <c r="DP176" s="18" t="s">
        <v>113</v>
      </c>
      <c r="DQ176" s="18" t="s">
        <v>179</v>
      </c>
      <c r="DS176" s="18">
        <v>0</v>
      </c>
      <c r="DT176" s="18">
        <v>0</v>
      </c>
      <c r="DU176" s="18">
        <v>1</v>
      </c>
      <c r="DV176" s="18" t="s">
        <v>5174</v>
      </c>
      <c r="DX176" s="18" t="s">
        <v>5145</v>
      </c>
      <c r="DY176" s="18" t="s">
        <v>106</v>
      </c>
      <c r="DZ176" s="18" t="s">
        <v>113</v>
      </c>
      <c r="EA176" s="18" t="s">
        <v>5146</v>
      </c>
      <c r="EB176" s="18">
        <v>0</v>
      </c>
      <c r="EC176" s="18" t="s">
        <v>113</v>
      </c>
      <c r="ED176" s="18" t="s">
        <v>5147</v>
      </c>
      <c r="EE176" s="18" t="s">
        <v>113</v>
      </c>
      <c r="EF176" s="18" t="s">
        <v>113</v>
      </c>
      <c r="EG176" s="18" t="s">
        <v>5148</v>
      </c>
      <c r="EH176" s="18" t="s">
        <v>5149</v>
      </c>
      <c r="EI176" s="18" t="s">
        <v>5204</v>
      </c>
      <c r="EJ176" s="18" t="s">
        <v>5422</v>
      </c>
      <c r="EK176" s="18" t="s">
        <v>113</v>
      </c>
      <c r="EL176" s="18">
        <v>0</v>
      </c>
      <c r="EM176" s="18" t="s">
        <v>5227</v>
      </c>
      <c r="EN176" s="18" t="s">
        <v>113</v>
      </c>
      <c r="EO176" s="18" t="s">
        <v>113</v>
      </c>
      <c r="EP176" s="18" t="s">
        <v>113</v>
      </c>
      <c r="EQ176" s="18" t="s">
        <v>113</v>
      </c>
      <c r="ER176" s="18" t="s">
        <v>5328</v>
      </c>
      <c r="ES176" s="18" t="s">
        <v>5498</v>
      </c>
      <c r="ET176" s="18" t="s">
        <v>5154</v>
      </c>
      <c r="EU176" s="18" t="s">
        <v>5155</v>
      </c>
      <c r="EV176" s="18" t="s">
        <v>5789</v>
      </c>
      <c r="EW176" s="18" t="s">
        <v>5320</v>
      </c>
      <c r="EX176" s="18" t="s">
        <v>5158</v>
      </c>
      <c r="EY176" s="18" t="s">
        <v>5229</v>
      </c>
      <c r="EZ176" s="18" t="s">
        <v>5160</v>
      </c>
      <c r="FA176" s="18" t="s">
        <v>144</v>
      </c>
      <c r="FB176" s="18" t="s">
        <v>5161</v>
      </c>
    </row>
    <row r="177" spans="1:158" ht="10.5" customHeight="1" x14ac:dyDescent="0.2">
      <c r="A177" s="16">
        <v>41</v>
      </c>
      <c r="B177" s="16" t="s">
        <v>1637</v>
      </c>
      <c r="C177" s="16" t="s">
        <v>110</v>
      </c>
      <c r="D177" s="16">
        <v>161506</v>
      </c>
      <c r="E177" s="16" t="s">
        <v>6657</v>
      </c>
      <c r="F177" s="18" t="s">
        <v>110</v>
      </c>
      <c r="G177" s="18" t="s">
        <v>106</v>
      </c>
      <c r="H177" s="15" t="s">
        <v>5127</v>
      </c>
      <c r="I177" s="18">
        <v>18</v>
      </c>
      <c r="J177" s="18">
        <v>12</v>
      </c>
      <c r="K177" s="18" t="s">
        <v>387</v>
      </c>
      <c r="L177" s="18" t="s">
        <v>220</v>
      </c>
      <c r="M177" s="18" t="s">
        <v>5230</v>
      </c>
      <c r="N177" s="18" t="s">
        <v>5831</v>
      </c>
      <c r="O177" s="18">
        <v>46209</v>
      </c>
      <c r="T177" s="18" t="s">
        <v>5122</v>
      </c>
      <c r="U177" s="18" t="s">
        <v>5185</v>
      </c>
      <c r="V177" s="18" t="s">
        <v>106</v>
      </c>
      <c r="W177" s="18" t="s">
        <v>5124</v>
      </c>
      <c r="Y177" s="18" t="s">
        <v>5162</v>
      </c>
      <c r="Z177" s="18" t="s">
        <v>106</v>
      </c>
      <c r="AA177" s="18" t="s">
        <v>5163</v>
      </c>
      <c r="AB177" s="18" t="s">
        <v>179</v>
      </c>
      <c r="AC177" s="18" t="s">
        <v>5127</v>
      </c>
      <c r="AD177" s="18" t="s">
        <v>5127</v>
      </c>
      <c r="AE177" s="18" t="s">
        <v>5127</v>
      </c>
      <c r="AF177" s="18" t="s">
        <v>5127</v>
      </c>
      <c r="AG177" s="18" t="s">
        <v>5127</v>
      </c>
      <c r="AH177" s="18" t="s">
        <v>111</v>
      </c>
      <c r="AI177" s="18">
        <v>0</v>
      </c>
      <c r="AK177" s="18" t="s">
        <v>5164</v>
      </c>
      <c r="AN177" s="18">
        <v>79522900</v>
      </c>
      <c r="AO177" s="18" t="s">
        <v>5129</v>
      </c>
      <c r="AP177" s="18" t="s">
        <v>5832</v>
      </c>
      <c r="AQ177" s="18" t="s">
        <v>5711</v>
      </c>
      <c r="AR177" s="18" t="s">
        <v>5168</v>
      </c>
      <c r="AT177" s="17">
        <f>(365*D177*0.7)/1000</f>
        <v>41264.783000000003</v>
      </c>
      <c r="AU177" s="17">
        <f t="shared" si="5"/>
        <v>182.8</v>
      </c>
      <c r="AV177" s="18">
        <f>182800/1000</f>
        <v>182.8</v>
      </c>
      <c r="AW177" s="18">
        <v>0</v>
      </c>
      <c r="AY177" s="18" t="s">
        <v>164</v>
      </c>
      <c r="AZ177" s="18">
        <f>30000/1000</f>
        <v>30</v>
      </c>
      <c r="BA177" s="18">
        <v>0</v>
      </c>
      <c r="BB177" s="18">
        <v>0</v>
      </c>
      <c r="BD177" s="18">
        <v>0</v>
      </c>
      <c r="BE177" s="18">
        <v>0</v>
      </c>
      <c r="BG177" s="18" t="s">
        <v>5833</v>
      </c>
      <c r="BH177" s="18">
        <v>0</v>
      </c>
      <c r="BI177" s="18">
        <v>0</v>
      </c>
      <c r="BJ177" s="18">
        <v>0</v>
      </c>
      <c r="BQ177" s="18">
        <f>25720100/1000000</f>
        <v>25.720099999999999</v>
      </c>
      <c r="BR177" s="18">
        <f>23075000/1000000</f>
        <v>23.074999999999999</v>
      </c>
      <c r="BS177" s="18">
        <f>2897700/1000000</f>
        <v>2.8976999999999999</v>
      </c>
      <c r="BT177" s="18">
        <f>8693000/1000000</f>
        <v>8.6929999999999996</v>
      </c>
      <c r="BU177" s="18">
        <f>857100/1000000</f>
        <v>0.85709999999999997</v>
      </c>
      <c r="BV177" s="18">
        <f>61242900/1000000</f>
        <v>61.242899999999999</v>
      </c>
      <c r="BW177" s="15">
        <f t="shared" si="6"/>
        <v>61.242899999999999</v>
      </c>
      <c r="BY177" s="18" t="s">
        <v>5134</v>
      </c>
      <c r="BZ177" s="18" t="s">
        <v>5688</v>
      </c>
      <c r="CD177" s="18" t="s">
        <v>5127</v>
      </c>
      <c r="CE177" s="18" t="s">
        <v>111</v>
      </c>
      <c r="CF177" s="18" t="s">
        <v>5135</v>
      </c>
      <c r="CG177" s="18" t="s">
        <v>5193</v>
      </c>
      <c r="CH177" s="18" t="s">
        <v>5194</v>
      </c>
      <c r="CI177" s="18" t="s">
        <v>5138</v>
      </c>
      <c r="CJ177" s="18" t="s">
        <v>5680</v>
      </c>
      <c r="CK177" s="18" t="s">
        <v>5171</v>
      </c>
      <c r="CL177" s="18">
        <v>1</v>
      </c>
      <c r="CM177" s="18">
        <v>0</v>
      </c>
      <c r="CN177" s="18">
        <v>0</v>
      </c>
      <c r="CO177" s="18">
        <v>1</v>
      </c>
      <c r="CP177" s="18">
        <v>0</v>
      </c>
      <c r="CQ177" s="18">
        <v>0</v>
      </c>
      <c r="CR177" s="18" t="s">
        <v>5141</v>
      </c>
      <c r="CS177" s="18" t="s">
        <v>5141</v>
      </c>
      <c r="CT177" s="18">
        <v>0</v>
      </c>
      <c r="CU177" s="18">
        <v>2</v>
      </c>
      <c r="CV177" s="18" t="s">
        <v>5141</v>
      </c>
      <c r="CX177" s="18">
        <v>1</v>
      </c>
      <c r="CY177" s="18">
        <v>1</v>
      </c>
      <c r="CZ177" s="18">
        <v>0</v>
      </c>
      <c r="DA177" s="18">
        <v>0</v>
      </c>
      <c r="DB177" s="18">
        <v>0</v>
      </c>
      <c r="DC177" s="18">
        <v>1</v>
      </c>
      <c r="DD177" s="18">
        <v>1</v>
      </c>
      <c r="DE177" s="18">
        <v>0</v>
      </c>
      <c r="DF177" s="18">
        <v>0</v>
      </c>
      <c r="DG177" s="18">
        <v>0</v>
      </c>
      <c r="DH177" s="18">
        <v>0</v>
      </c>
      <c r="DI177" s="18">
        <v>0</v>
      </c>
      <c r="DK177" s="18">
        <v>0</v>
      </c>
      <c r="DL177" s="18">
        <v>0</v>
      </c>
      <c r="DM177" s="18" t="s">
        <v>5127</v>
      </c>
      <c r="DN177" s="18" t="s">
        <v>5258</v>
      </c>
      <c r="DO177" s="18" t="s">
        <v>5834</v>
      </c>
      <c r="DP177" s="18" t="s">
        <v>113</v>
      </c>
      <c r="DQ177" s="18" t="s">
        <v>179</v>
      </c>
      <c r="DS177" s="18">
        <v>0</v>
      </c>
      <c r="DT177" s="18">
        <v>1</v>
      </c>
      <c r="DU177" s="18">
        <v>0</v>
      </c>
      <c r="DV177" s="18" t="s">
        <v>5260</v>
      </c>
      <c r="DX177" s="18" t="s">
        <v>5201</v>
      </c>
      <c r="DY177" s="18" t="s">
        <v>106</v>
      </c>
      <c r="DZ177" s="18" t="s">
        <v>113</v>
      </c>
      <c r="EA177" s="18" t="s">
        <v>5261</v>
      </c>
      <c r="EB177" s="18">
        <v>61242900</v>
      </c>
      <c r="EC177" s="18" t="s">
        <v>106</v>
      </c>
      <c r="ED177" s="18" t="s">
        <v>5176</v>
      </c>
      <c r="EE177" s="18" t="s">
        <v>106</v>
      </c>
      <c r="EF177" s="18" t="s">
        <v>106</v>
      </c>
      <c r="EG177" s="18" t="s">
        <v>5148</v>
      </c>
      <c r="EH177" s="18" t="s">
        <v>5203</v>
      </c>
      <c r="EI177" s="18" t="s">
        <v>5204</v>
      </c>
      <c r="EJ177" s="18" t="s">
        <v>5445</v>
      </c>
      <c r="EK177" s="18" t="s">
        <v>5362</v>
      </c>
      <c r="EL177" s="18" t="s">
        <v>5835</v>
      </c>
      <c r="EM177" s="18" t="s">
        <v>5227</v>
      </c>
      <c r="EN177" s="18" t="s">
        <v>113</v>
      </c>
      <c r="EO177" s="18" t="s">
        <v>113</v>
      </c>
      <c r="EP177" s="18" t="s">
        <v>113</v>
      </c>
      <c r="EQ177" s="18" t="s">
        <v>113</v>
      </c>
      <c r="ER177" s="18" t="s">
        <v>5152</v>
      </c>
      <c r="ES177" s="18" t="s">
        <v>5153</v>
      </c>
      <c r="ET177" s="18" t="s">
        <v>5154</v>
      </c>
      <c r="EU177" s="18" t="s">
        <v>5318</v>
      </c>
      <c r="EV177" s="18" t="s">
        <v>5276</v>
      </c>
      <c r="EW177" s="18" t="s">
        <v>5406</v>
      </c>
      <c r="EX177" s="18" t="s">
        <v>5158</v>
      </c>
      <c r="EY177" s="18" t="s">
        <v>5615</v>
      </c>
      <c r="EZ177" s="18" t="s">
        <v>5182</v>
      </c>
      <c r="FA177" s="18" t="s">
        <v>144</v>
      </c>
      <c r="FB177" s="18" t="s">
        <v>5161</v>
      </c>
    </row>
    <row r="178" spans="1:158" ht="10.5" customHeight="1" x14ac:dyDescent="0.2">
      <c r="A178" s="16">
        <v>41</v>
      </c>
      <c r="B178" s="16" t="s">
        <v>1651</v>
      </c>
      <c r="C178" s="16" t="s">
        <v>1650</v>
      </c>
      <c r="D178" s="16">
        <v>4512</v>
      </c>
      <c r="E178" s="16" t="s">
        <v>6656</v>
      </c>
      <c r="F178" s="18" t="s">
        <v>1650</v>
      </c>
      <c r="G178" s="18" t="s">
        <v>106</v>
      </c>
      <c r="H178" s="15" t="s">
        <v>5127</v>
      </c>
      <c r="I178" s="18" t="s">
        <v>1657</v>
      </c>
      <c r="J178" s="18" t="s">
        <v>2511</v>
      </c>
      <c r="K178" s="18" t="s">
        <v>4537</v>
      </c>
      <c r="L178" s="18">
        <v>0</v>
      </c>
      <c r="M178" s="18" t="s">
        <v>5121</v>
      </c>
      <c r="N178" s="18" t="s">
        <v>127</v>
      </c>
      <c r="T178" s="18" t="s">
        <v>111</v>
      </c>
      <c r="U178" s="18" t="s">
        <v>5123</v>
      </c>
      <c r="V178" s="18" t="s">
        <v>113</v>
      </c>
      <c r="W178" s="18" t="s">
        <v>5211</v>
      </c>
      <c r="Y178" s="18" t="s">
        <v>5517</v>
      </c>
      <c r="Z178" s="18" t="s">
        <v>113</v>
      </c>
      <c r="AA178" s="18" t="s">
        <v>5163</v>
      </c>
      <c r="AB178" s="18" t="s">
        <v>179</v>
      </c>
      <c r="AC178" s="18" t="s">
        <v>111</v>
      </c>
      <c r="AD178" s="18" t="s">
        <v>111</v>
      </c>
      <c r="AE178" s="18" t="s">
        <v>111</v>
      </c>
      <c r="AF178" s="18" t="s">
        <v>111</v>
      </c>
      <c r="AG178" s="18" t="s">
        <v>111</v>
      </c>
      <c r="AH178" s="18" t="s">
        <v>111</v>
      </c>
      <c r="AI178" s="18">
        <v>0</v>
      </c>
      <c r="AK178" s="18" t="s">
        <v>5145</v>
      </c>
      <c r="AN178" s="18">
        <v>190</v>
      </c>
      <c r="AO178" s="18" t="s">
        <v>5391</v>
      </c>
      <c r="AP178" s="18" t="s">
        <v>5836</v>
      </c>
      <c r="AQ178" s="18" t="s">
        <v>164</v>
      </c>
      <c r="AR178" s="18" t="s">
        <v>179</v>
      </c>
      <c r="AT178" s="17">
        <f>(365*D178*0.7)/1000</f>
        <v>1152.816</v>
      </c>
      <c r="AU178" s="17">
        <f t="shared" si="5"/>
        <v>10</v>
      </c>
      <c r="AV178" s="18">
        <v>10</v>
      </c>
      <c r="AW178" s="18">
        <v>0</v>
      </c>
      <c r="AY178" s="18" t="s">
        <v>164</v>
      </c>
      <c r="AZ178" s="18">
        <v>0</v>
      </c>
      <c r="BB178" s="18">
        <v>200</v>
      </c>
      <c r="BD178" s="18">
        <f>120/1000</f>
        <v>0.12</v>
      </c>
      <c r="BG178" s="18" t="s">
        <v>164</v>
      </c>
      <c r="BQ178" s="18">
        <v>0</v>
      </c>
      <c r="BR178" s="18">
        <v>0</v>
      </c>
      <c r="BS178" s="18">
        <v>0</v>
      </c>
      <c r="BT178" s="18">
        <v>0</v>
      </c>
      <c r="BU178" s="18">
        <v>0</v>
      </c>
      <c r="BV178" s="18">
        <v>0</v>
      </c>
      <c r="BW178" s="15">
        <f t="shared" si="6"/>
        <v>0</v>
      </c>
      <c r="BY178" s="18" t="s">
        <v>5322</v>
      </c>
      <c r="BZ178" s="18" t="s">
        <v>193</v>
      </c>
      <c r="CD178" s="18" t="s">
        <v>111</v>
      </c>
      <c r="CE178" s="18" t="s">
        <v>111</v>
      </c>
      <c r="CF178" s="18" t="s">
        <v>5135</v>
      </c>
      <c r="CG178" s="18" t="s">
        <v>5837</v>
      </c>
      <c r="CH178" s="18" t="s">
        <v>5241</v>
      </c>
      <c r="CI178" s="18" t="s">
        <v>111</v>
      </c>
      <c r="CJ178" s="18" t="s">
        <v>5139</v>
      </c>
      <c r="CK178" s="18" t="s">
        <v>179</v>
      </c>
      <c r="CL178" s="18">
        <v>0</v>
      </c>
      <c r="CM178" s="18">
        <v>0</v>
      </c>
      <c r="CN178" s="18">
        <v>0</v>
      </c>
      <c r="CO178" s="18">
        <v>0</v>
      </c>
      <c r="CP178" s="18">
        <v>0</v>
      </c>
      <c r="CQ178" s="18">
        <v>0</v>
      </c>
      <c r="CR178" s="18">
        <v>0</v>
      </c>
      <c r="CS178" s="18">
        <v>0</v>
      </c>
      <c r="CT178" s="18">
        <v>0</v>
      </c>
      <c r="CU178" s="18">
        <v>0</v>
      </c>
      <c r="CV178" s="18">
        <v>0</v>
      </c>
      <c r="CX178" s="18">
        <v>1</v>
      </c>
      <c r="CY178" s="18">
        <v>1</v>
      </c>
      <c r="CZ178" s="18">
        <v>1</v>
      </c>
      <c r="DA178" s="18">
        <v>1</v>
      </c>
      <c r="DB178" s="18">
        <v>1</v>
      </c>
      <c r="DC178" s="18">
        <v>1</v>
      </c>
      <c r="DD178" s="18">
        <v>1</v>
      </c>
      <c r="DE178" s="18">
        <v>1</v>
      </c>
      <c r="DF178" s="18" t="s">
        <v>5141</v>
      </c>
      <c r="DG178" s="18">
        <v>1</v>
      </c>
      <c r="DH178" s="18">
        <v>1</v>
      </c>
      <c r="DI178" s="18">
        <v>1</v>
      </c>
      <c r="DK178" s="18">
        <v>0</v>
      </c>
      <c r="DL178" s="18">
        <v>1</v>
      </c>
      <c r="DM178" s="18" t="s">
        <v>111</v>
      </c>
      <c r="DN178" s="18" t="s">
        <v>5314</v>
      </c>
      <c r="DO178" s="18" t="s">
        <v>5143</v>
      </c>
      <c r="DP178" s="18" t="s">
        <v>113</v>
      </c>
      <c r="DS178" s="18">
        <v>0</v>
      </c>
      <c r="DT178" s="18">
        <v>0</v>
      </c>
      <c r="DU178" s="18">
        <v>1</v>
      </c>
      <c r="DV178" s="18" t="s">
        <v>5260</v>
      </c>
      <c r="DX178" s="18" t="s">
        <v>5222</v>
      </c>
      <c r="DY178" s="18" t="s">
        <v>113</v>
      </c>
      <c r="DZ178" s="18" t="s">
        <v>106</v>
      </c>
      <c r="EA178" s="18" t="s">
        <v>5223</v>
      </c>
      <c r="EB178" s="18">
        <v>170</v>
      </c>
      <c r="EC178" s="18" t="s">
        <v>113</v>
      </c>
      <c r="ED178" s="18" t="s">
        <v>5147</v>
      </c>
      <c r="EE178" s="18" t="s">
        <v>113</v>
      </c>
      <c r="EF178" s="18" t="s">
        <v>113</v>
      </c>
      <c r="EG178" s="18" t="s">
        <v>5148</v>
      </c>
      <c r="EH178" s="18" t="s">
        <v>5149</v>
      </c>
      <c r="EI178" s="18" t="s">
        <v>5150</v>
      </c>
      <c r="EK178" s="18" t="s">
        <v>113</v>
      </c>
      <c r="EN178" s="18" t="s">
        <v>113</v>
      </c>
      <c r="EO178" s="18" t="s">
        <v>113</v>
      </c>
      <c r="EP178" s="18" t="s">
        <v>113</v>
      </c>
      <c r="EQ178" s="18" t="s">
        <v>113</v>
      </c>
      <c r="EX178" s="18" t="s">
        <v>5307</v>
      </c>
      <c r="EY178" s="18" t="s">
        <v>5229</v>
      </c>
      <c r="EZ178" s="18" t="s">
        <v>5308</v>
      </c>
      <c r="FA178" s="18" t="s">
        <v>144</v>
      </c>
      <c r="FB178" s="18" t="s">
        <v>5161</v>
      </c>
    </row>
    <row r="179" spans="1:158" ht="10.5" customHeight="1" x14ac:dyDescent="0.2">
      <c r="A179" s="16">
        <v>41</v>
      </c>
      <c r="B179" s="16" t="s">
        <v>2030</v>
      </c>
      <c r="C179" s="16" t="s">
        <v>2031</v>
      </c>
      <c r="D179" s="16">
        <v>6387</v>
      </c>
      <c r="E179" s="16" t="s">
        <v>6656</v>
      </c>
      <c r="H179" s="15" t="s">
        <v>6661</v>
      </c>
      <c r="AT179" s="17">
        <f>(365*D179*0.7)/1000</f>
        <v>1631.8785</v>
      </c>
      <c r="AU179" s="17">
        <f t="shared" si="5"/>
        <v>0</v>
      </c>
      <c r="BW179" s="15">
        <f t="shared" si="6"/>
        <v>0</v>
      </c>
    </row>
    <row r="180" spans="1:158" ht="10.5" customHeight="1" x14ac:dyDescent="0.2">
      <c r="A180" s="16">
        <v>41</v>
      </c>
      <c r="B180" s="16" t="s">
        <v>1663</v>
      </c>
      <c r="C180" s="16" t="s">
        <v>1662</v>
      </c>
      <c r="D180" s="16">
        <v>8144</v>
      </c>
      <c r="E180" s="16" t="s">
        <v>6656</v>
      </c>
      <c r="F180" s="18" t="s">
        <v>1662</v>
      </c>
      <c r="G180" s="18" t="s">
        <v>113</v>
      </c>
      <c r="H180" s="15" t="s">
        <v>111</v>
      </c>
      <c r="AT180" s="17">
        <f>(365*D180*0.7)/1000</f>
        <v>2080.7919999999999</v>
      </c>
      <c r="AU180" s="17">
        <f t="shared" si="5"/>
        <v>0</v>
      </c>
      <c r="BW180" s="15">
        <f t="shared" si="6"/>
        <v>0</v>
      </c>
    </row>
    <row r="181" spans="1:158" ht="10.5" customHeight="1" x14ac:dyDescent="0.2">
      <c r="A181" s="16">
        <v>41</v>
      </c>
      <c r="B181" s="16" t="s">
        <v>1672</v>
      </c>
      <c r="C181" s="16" t="s">
        <v>1671</v>
      </c>
      <c r="D181" s="16">
        <v>4367</v>
      </c>
      <c r="E181" s="16" t="s">
        <v>6656</v>
      </c>
      <c r="F181" s="18" t="s">
        <v>1671</v>
      </c>
      <c r="G181" s="18" t="s">
        <v>113</v>
      </c>
      <c r="H181" s="15" t="s">
        <v>111</v>
      </c>
      <c r="AT181" s="17">
        <f>(365*D181*0.7)/1000</f>
        <v>1115.7684999999999</v>
      </c>
      <c r="AU181" s="17">
        <f t="shared" si="5"/>
        <v>0</v>
      </c>
      <c r="BW181" s="15">
        <f t="shared" si="6"/>
        <v>0</v>
      </c>
    </row>
    <row r="182" spans="1:158" ht="10.5" customHeight="1" x14ac:dyDescent="0.2">
      <c r="A182" s="16">
        <v>41</v>
      </c>
      <c r="B182" s="16" t="s">
        <v>1678</v>
      </c>
      <c r="C182" s="16" t="s">
        <v>1677</v>
      </c>
      <c r="D182" s="16">
        <v>4825</v>
      </c>
      <c r="E182" s="16" t="s">
        <v>6656</v>
      </c>
      <c r="F182" s="18" t="s">
        <v>1677</v>
      </c>
      <c r="G182" s="18" t="s">
        <v>106</v>
      </c>
      <c r="H182" s="15" t="s">
        <v>5127</v>
      </c>
      <c r="I182" s="18">
        <v>8</v>
      </c>
      <c r="J182" s="18">
        <v>4</v>
      </c>
      <c r="K182" s="18">
        <v>4</v>
      </c>
      <c r="L182" s="18">
        <v>0</v>
      </c>
      <c r="M182" s="18" t="s">
        <v>5183</v>
      </c>
      <c r="N182" s="18" t="s">
        <v>5838</v>
      </c>
      <c r="O182" s="18">
        <v>46995</v>
      </c>
      <c r="T182" s="18" t="s">
        <v>111</v>
      </c>
      <c r="U182" s="18" t="s">
        <v>5250</v>
      </c>
      <c r="V182" s="18" t="s">
        <v>106</v>
      </c>
      <c r="W182" s="18" t="s">
        <v>5124</v>
      </c>
      <c r="Y182" s="18" t="s">
        <v>5162</v>
      </c>
      <c r="Z182" s="18" t="s">
        <v>106</v>
      </c>
      <c r="AA182" s="18" t="s">
        <v>5267</v>
      </c>
      <c r="AB182" s="18" t="s">
        <v>179</v>
      </c>
      <c r="AC182" s="18" t="s">
        <v>5127</v>
      </c>
      <c r="AD182" s="18" t="s">
        <v>5127</v>
      </c>
      <c r="AE182" s="18" t="s">
        <v>111</v>
      </c>
      <c r="AF182" s="18" t="s">
        <v>111</v>
      </c>
      <c r="AG182" s="18" t="s">
        <v>5127</v>
      </c>
      <c r="AH182" s="18" t="s">
        <v>111</v>
      </c>
      <c r="AI182" s="18">
        <v>1</v>
      </c>
      <c r="AK182" s="18" t="s">
        <v>5164</v>
      </c>
      <c r="AN182" s="18">
        <v>0</v>
      </c>
      <c r="AO182" s="18" t="s">
        <v>5186</v>
      </c>
      <c r="AP182" s="18" t="s">
        <v>5839</v>
      </c>
      <c r="AQ182" s="18" t="s">
        <v>5826</v>
      </c>
      <c r="AR182" s="18" t="s">
        <v>5168</v>
      </c>
      <c r="AT182" s="17">
        <f>(365*D182*0.7)/1000</f>
        <v>1232.7874999999999</v>
      </c>
      <c r="AU182" s="17">
        <f t="shared" si="5"/>
        <v>42</v>
      </c>
      <c r="AV182" s="18">
        <f>42000/1000</f>
        <v>42</v>
      </c>
      <c r="AW182" s="18">
        <v>0</v>
      </c>
      <c r="AY182" s="18" t="s">
        <v>5840</v>
      </c>
      <c r="AZ182" s="18">
        <v>0</v>
      </c>
      <c r="BA182" s="18">
        <v>0</v>
      </c>
      <c r="BB182" s="18">
        <v>0</v>
      </c>
      <c r="BD182" s="18">
        <v>0</v>
      </c>
      <c r="BE182" s="18">
        <v>0</v>
      </c>
      <c r="BG182" s="18" t="s">
        <v>5190</v>
      </c>
      <c r="BH182" s="18">
        <v>0</v>
      </c>
      <c r="BI182" s="18">
        <v>0</v>
      </c>
      <c r="BJ182" s="18">
        <v>0</v>
      </c>
      <c r="BQ182" s="18">
        <f>102070/1000</f>
        <v>102.07</v>
      </c>
      <c r="BR182" s="18">
        <f>51200/1000</f>
        <v>51.2</v>
      </c>
      <c r="BS182" s="18">
        <f>17723/1000</f>
        <v>17.722999999999999</v>
      </c>
      <c r="BT182" s="18">
        <f>24280/1000</f>
        <v>24.28</v>
      </c>
      <c r="BU182" s="18">
        <v>0</v>
      </c>
      <c r="BV182" s="18">
        <f>SUM(BQ182:BU182)</f>
        <v>195.273</v>
      </c>
      <c r="BW182" s="15">
        <f t="shared" si="6"/>
        <v>195.273</v>
      </c>
      <c r="BY182" s="18" t="s">
        <v>5134</v>
      </c>
      <c r="BZ182" s="18" t="s">
        <v>193</v>
      </c>
      <c r="CD182" s="18" t="s">
        <v>5127</v>
      </c>
      <c r="CE182" s="18" t="s">
        <v>111</v>
      </c>
      <c r="CF182" s="18" t="s">
        <v>5135</v>
      </c>
      <c r="CG182" s="18" t="s">
        <v>5427</v>
      </c>
      <c r="CH182" s="18" t="s">
        <v>5194</v>
      </c>
      <c r="CI182" s="18" t="s">
        <v>5138</v>
      </c>
      <c r="CJ182" s="18" t="s">
        <v>5196</v>
      </c>
      <c r="CK182" s="18" t="s">
        <v>5197</v>
      </c>
      <c r="CL182" s="18">
        <v>2</v>
      </c>
      <c r="CM182" s="18">
        <v>0</v>
      </c>
      <c r="CN182" s="18">
        <v>0</v>
      </c>
      <c r="CO182" s="18">
        <v>1</v>
      </c>
      <c r="CP182" s="18">
        <v>1</v>
      </c>
      <c r="CQ182" s="18">
        <v>1</v>
      </c>
      <c r="CR182" s="18">
        <v>0</v>
      </c>
      <c r="CS182" s="18" t="s">
        <v>5141</v>
      </c>
      <c r="CT182" s="18">
        <v>0</v>
      </c>
      <c r="CU182" s="18">
        <v>1</v>
      </c>
      <c r="CV182" s="18">
        <v>1</v>
      </c>
      <c r="CX182" s="18">
        <v>0</v>
      </c>
      <c r="CY182" s="18">
        <v>1</v>
      </c>
      <c r="CZ182" s="18">
        <v>0</v>
      </c>
      <c r="DA182" s="18">
        <v>1</v>
      </c>
      <c r="DB182" s="18">
        <v>1</v>
      </c>
      <c r="DC182" s="18">
        <v>1</v>
      </c>
      <c r="DD182" s="18">
        <v>0</v>
      </c>
      <c r="DE182" s="18" t="s">
        <v>5141</v>
      </c>
      <c r="DF182" s="18" t="s">
        <v>5141</v>
      </c>
      <c r="DG182" s="18">
        <v>0</v>
      </c>
      <c r="DH182" s="18">
        <v>1</v>
      </c>
      <c r="DI182" s="18">
        <v>3</v>
      </c>
      <c r="DK182" s="18">
        <v>0</v>
      </c>
      <c r="DL182" s="18">
        <v>0</v>
      </c>
      <c r="DM182" s="18" t="s">
        <v>5127</v>
      </c>
      <c r="DN182" s="18" t="s">
        <v>5314</v>
      </c>
      <c r="DO182" s="18" t="s">
        <v>5841</v>
      </c>
      <c r="DP182" s="18" t="s">
        <v>106</v>
      </c>
      <c r="DQ182" s="18" t="s">
        <v>5168</v>
      </c>
      <c r="DS182" s="18">
        <v>0</v>
      </c>
      <c r="DT182" s="18">
        <v>0</v>
      </c>
      <c r="DU182" s="18">
        <v>1</v>
      </c>
      <c r="DV182" s="18" t="s">
        <v>5842</v>
      </c>
      <c r="DX182" s="18" t="s">
        <v>5201</v>
      </c>
      <c r="DY182" s="18" t="s">
        <v>106</v>
      </c>
      <c r="DZ182" s="18" t="s">
        <v>106</v>
      </c>
      <c r="EA182" s="18" t="s">
        <v>5261</v>
      </c>
      <c r="EB182" s="18">
        <v>195273</v>
      </c>
      <c r="EC182" s="18" t="s">
        <v>106</v>
      </c>
      <c r="ED182" s="18" t="s">
        <v>5147</v>
      </c>
      <c r="EE182" s="18" t="s">
        <v>113</v>
      </c>
      <c r="EF182" s="18" t="s">
        <v>113</v>
      </c>
      <c r="EG182" s="18" t="s">
        <v>5148</v>
      </c>
      <c r="EH182" s="18" t="s">
        <v>5203</v>
      </c>
      <c r="EI182" s="18" t="s">
        <v>5204</v>
      </c>
      <c r="EJ182" s="18" t="s">
        <v>5316</v>
      </c>
      <c r="EK182" s="18" t="s">
        <v>113</v>
      </c>
      <c r="EL182" s="18" t="s">
        <v>5843</v>
      </c>
      <c r="EM182" s="18" t="s">
        <v>5514</v>
      </c>
      <c r="EN182" s="18" t="s">
        <v>113</v>
      </c>
      <c r="EO182" s="18" t="s">
        <v>113</v>
      </c>
      <c r="EP182" s="18" t="s">
        <v>113</v>
      </c>
      <c r="EQ182" s="18" t="s">
        <v>106</v>
      </c>
      <c r="ER182" s="18" t="s">
        <v>5155</v>
      </c>
      <c r="ES182" s="18" t="s">
        <v>5773</v>
      </c>
      <c r="ET182" s="18" t="s">
        <v>5154</v>
      </c>
      <c r="EU182" s="18" t="s">
        <v>5155</v>
      </c>
      <c r="EV182" s="18" t="s">
        <v>5305</v>
      </c>
      <c r="EW182" s="18" t="s">
        <v>5844</v>
      </c>
      <c r="EX182" s="18" t="s">
        <v>5845</v>
      </c>
      <c r="EY182" s="18" t="s">
        <v>5806</v>
      </c>
      <c r="EZ182" s="18" t="s">
        <v>5160</v>
      </c>
      <c r="FA182" s="18" t="s">
        <v>144</v>
      </c>
      <c r="FB182" s="18" t="s">
        <v>5161</v>
      </c>
    </row>
    <row r="183" spans="1:158" ht="10.5" customHeight="1" x14ac:dyDescent="0.2">
      <c r="A183" s="16">
        <v>41</v>
      </c>
      <c r="B183" s="16" t="s">
        <v>2983</v>
      </c>
      <c r="C183" s="16" t="s">
        <v>2984</v>
      </c>
      <c r="D183" s="16">
        <v>11226</v>
      </c>
      <c r="E183" s="16" t="s">
        <v>6656</v>
      </c>
      <c r="H183" s="15" t="s">
        <v>6661</v>
      </c>
      <c r="AT183" s="17">
        <f>(365*D183*0.7)/1000</f>
        <v>2868.2429999999999</v>
      </c>
      <c r="AU183" s="17">
        <f t="shared" si="5"/>
        <v>0</v>
      </c>
      <c r="BW183" s="15">
        <f t="shared" si="6"/>
        <v>0</v>
      </c>
    </row>
    <row r="184" spans="1:158" ht="10.5" customHeight="1" x14ac:dyDescent="0.2">
      <c r="A184" s="16">
        <v>41</v>
      </c>
      <c r="B184" s="16" t="s">
        <v>3022</v>
      </c>
      <c r="C184" s="16" t="s">
        <v>3023</v>
      </c>
      <c r="D184" s="16">
        <v>11639</v>
      </c>
      <c r="E184" s="16" t="s">
        <v>6656</v>
      </c>
      <c r="H184" s="15" t="s">
        <v>6661</v>
      </c>
      <c r="AT184" s="17">
        <f>(365*D184*0.7)/1000</f>
        <v>2973.7645000000002</v>
      </c>
      <c r="AU184" s="17">
        <f t="shared" si="5"/>
        <v>0</v>
      </c>
      <c r="BW184" s="15">
        <f t="shared" si="6"/>
        <v>0</v>
      </c>
    </row>
    <row r="185" spans="1:158" ht="10.5" customHeight="1" x14ac:dyDescent="0.2">
      <c r="A185" s="16">
        <v>41</v>
      </c>
      <c r="B185" s="16" t="s">
        <v>558</v>
      </c>
      <c r="C185" s="16" t="s">
        <v>559</v>
      </c>
      <c r="D185" s="16">
        <v>2704</v>
      </c>
      <c r="E185" s="16" t="s">
        <v>6656</v>
      </c>
      <c r="H185" s="15" t="s">
        <v>6661</v>
      </c>
      <c r="AT185" s="17">
        <f>(365*D185*0.7)/1000</f>
        <v>690.87199999999996</v>
      </c>
      <c r="AU185" s="17">
        <f t="shared" si="5"/>
        <v>0</v>
      </c>
      <c r="BW185" s="15">
        <f t="shared" si="6"/>
        <v>0</v>
      </c>
    </row>
    <row r="186" spans="1:158" ht="10.5" customHeight="1" x14ac:dyDescent="0.2">
      <c r="A186" s="16">
        <v>41</v>
      </c>
      <c r="B186" s="16" t="s">
        <v>1700</v>
      </c>
      <c r="C186" s="16" t="s">
        <v>1699</v>
      </c>
      <c r="D186" s="16">
        <v>7756</v>
      </c>
      <c r="E186" s="16" t="s">
        <v>6656</v>
      </c>
      <c r="H186" s="15" t="s">
        <v>6661</v>
      </c>
      <c r="AT186" s="17">
        <f>(365*D186*0.7)/1000</f>
        <v>1981.6579999999997</v>
      </c>
      <c r="AU186" s="17">
        <f t="shared" si="5"/>
        <v>0</v>
      </c>
      <c r="BW186" s="15">
        <f t="shared" si="6"/>
        <v>0</v>
      </c>
    </row>
    <row r="187" spans="1:158" ht="10.5" customHeight="1" x14ac:dyDescent="0.2">
      <c r="A187" s="16">
        <v>41</v>
      </c>
      <c r="B187" s="16" t="s">
        <v>1719</v>
      </c>
      <c r="C187" s="16" t="s">
        <v>1718</v>
      </c>
      <c r="D187" s="16">
        <v>295500</v>
      </c>
      <c r="E187" s="16" t="s">
        <v>6659</v>
      </c>
      <c r="F187" s="18" t="s">
        <v>1718</v>
      </c>
      <c r="G187" s="18" t="s">
        <v>106</v>
      </c>
      <c r="H187" s="15" t="s">
        <v>5127</v>
      </c>
      <c r="I187" s="18">
        <v>20</v>
      </c>
      <c r="J187" s="18">
        <v>17</v>
      </c>
      <c r="K187" s="18">
        <v>3</v>
      </c>
      <c r="L187" s="18">
        <v>0</v>
      </c>
      <c r="M187" s="18" t="s">
        <v>5183</v>
      </c>
      <c r="N187" s="18" t="s">
        <v>5846</v>
      </c>
      <c r="O187" s="18">
        <v>45895</v>
      </c>
      <c r="T187" s="18" t="s">
        <v>5240</v>
      </c>
      <c r="U187" s="18" t="s">
        <v>5123</v>
      </c>
      <c r="V187" s="18" t="s">
        <v>106</v>
      </c>
      <c r="W187" s="18" t="s">
        <v>5124</v>
      </c>
      <c r="Y187" s="18" t="s">
        <v>5162</v>
      </c>
      <c r="Z187" s="18" t="s">
        <v>106</v>
      </c>
      <c r="AA187" s="18" t="s">
        <v>5163</v>
      </c>
      <c r="AB187" s="18" t="s">
        <v>5213</v>
      </c>
      <c r="AC187" s="18" t="s">
        <v>5127</v>
      </c>
      <c r="AD187" s="18" t="s">
        <v>5127</v>
      </c>
      <c r="AE187" s="18" t="s">
        <v>5127</v>
      </c>
      <c r="AF187" s="18" t="s">
        <v>5127</v>
      </c>
      <c r="AG187" s="18" t="s">
        <v>5127</v>
      </c>
      <c r="AH187" s="18" t="s">
        <v>5127</v>
      </c>
      <c r="AI187" s="18">
        <v>1</v>
      </c>
      <c r="AK187" s="18" t="s">
        <v>5279</v>
      </c>
      <c r="AN187" s="18">
        <v>624</v>
      </c>
      <c r="AO187" s="18" t="s">
        <v>5186</v>
      </c>
      <c r="AP187" s="18" t="s">
        <v>5847</v>
      </c>
      <c r="AQ187" s="18" t="s">
        <v>5269</v>
      </c>
      <c r="AR187" s="18" t="s">
        <v>179</v>
      </c>
      <c r="AT187" s="17">
        <f>(365*D187*0.7)/1000</f>
        <v>75500.25</v>
      </c>
      <c r="AU187" s="17">
        <f t="shared" si="5"/>
        <v>60</v>
      </c>
      <c r="AV187" s="18">
        <v>60</v>
      </c>
      <c r="AW187" s="18">
        <v>0</v>
      </c>
      <c r="AY187" s="18" t="s">
        <v>5848</v>
      </c>
      <c r="AZ187" s="18">
        <v>1</v>
      </c>
      <c r="BA187" s="18">
        <v>0</v>
      </c>
      <c r="BB187" s="18">
        <v>2</v>
      </c>
      <c r="BD187" s="18">
        <v>0</v>
      </c>
      <c r="BE187" s="18">
        <v>0</v>
      </c>
      <c r="BG187" s="18" t="s">
        <v>5238</v>
      </c>
      <c r="BH187" s="18">
        <f>200/1000</f>
        <v>0.2</v>
      </c>
      <c r="BI187" s="18">
        <v>0</v>
      </c>
      <c r="BJ187" s="18">
        <v>0</v>
      </c>
      <c r="BQ187" s="18">
        <v>125</v>
      </c>
      <c r="BR187" s="18">
        <v>132</v>
      </c>
      <c r="BS187" s="18">
        <v>72</v>
      </c>
      <c r="BT187" s="18">
        <v>240</v>
      </c>
      <c r="BU187" s="18">
        <v>0</v>
      </c>
      <c r="BV187" s="18">
        <f>SUM(BQ187:BU187)</f>
        <v>569</v>
      </c>
      <c r="BW187" s="15">
        <f t="shared" si="6"/>
        <v>569</v>
      </c>
      <c r="BY187" s="18" t="s">
        <v>5340</v>
      </c>
      <c r="BZ187" s="18" t="s">
        <v>193</v>
      </c>
      <c r="CD187" s="18" t="s">
        <v>5127</v>
      </c>
      <c r="CE187" s="18" t="s">
        <v>5127</v>
      </c>
      <c r="CF187" s="18" t="s">
        <v>5135</v>
      </c>
      <c r="CG187" s="18" t="s">
        <v>5193</v>
      </c>
      <c r="CH187" s="18" t="s">
        <v>111</v>
      </c>
      <c r="CI187" s="18" t="s">
        <v>5195</v>
      </c>
      <c r="CJ187" s="18" t="s">
        <v>5196</v>
      </c>
      <c r="CK187" s="18" t="s">
        <v>5197</v>
      </c>
      <c r="CL187" s="18">
        <v>0</v>
      </c>
      <c r="CM187" s="18">
        <v>1</v>
      </c>
      <c r="CN187" s="18">
        <v>0</v>
      </c>
      <c r="CO187" s="18">
        <v>1</v>
      </c>
      <c r="CP187" s="18">
        <v>1</v>
      </c>
      <c r="CQ187" s="18">
        <v>1</v>
      </c>
      <c r="CR187" s="18">
        <v>0</v>
      </c>
      <c r="CS187" s="18" t="s">
        <v>5141</v>
      </c>
      <c r="CT187" s="18">
        <v>0</v>
      </c>
      <c r="CU187" s="18">
        <v>0</v>
      </c>
      <c r="CV187" s="18" t="s">
        <v>5141</v>
      </c>
      <c r="CX187" s="18">
        <v>1</v>
      </c>
      <c r="CY187" s="18">
        <v>1</v>
      </c>
      <c r="CZ187" s="18">
        <v>1</v>
      </c>
      <c r="DA187" s="18">
        <v>1</v>
      </c>
      <c r="DB187" s="18">
        <v>1</v>
      </c>
      <c r="DC187" s="18">
        <v>2</v>
      </c>
      <c r="DD187" s="18">
        <v>1</v>
      </c>
      <c r="DE187" s="18" t="s">
        <v>5141</v>
      </c>
      <c r="DF187" s="18" t="s">
        <v>5141</v>
      </c>
      <c r="DG187" s="18">
        <v>1</v>
      </c>
      <c r="DH187" s="18">
        <v>1</v>
      </c>
      <c r="DI187" s="18" t="s">
        <v>5141</v>
      </c>
      <c r="DK187" s="18">
        <v>0</v>
      </c>
      <c r="DL187" s="18">
        <v>1</v>
      </c>
      <c r="DM187" s="18" t="s">
        <v>5127</v>
      </c>
      <c r="DN187" s="18" t="s">
        <v>5849</v>
      </c>
      <c r="DO187" s="18" t="s">
        <v>5850</v>
      </c>
      <c r="DP187" s="18" t="s">
        <v>113</v>
      </c>
      <c r="DQ187" s="18" t="s">
        <v>179</v>
      </c>
      <c r="DS187" s="18">
        <v>0</v>
      </c>
      <c r="DT187" s="18">
        <v>1</v>
      </c>
      <c r="DU187" s="18">
        <v>2</v>
      </c>
      <c r="DV187" s="18" t="s">
        <v>5851</v>
      </c>
      <c r="DX187" s="18" t="s">
        <v>5145</v>
      </c>
      <c r="DY187" s="18" t="s">
        <v>106</v>
      </c>
      <c r="DZ187" s="18" t="s">
        <v>113</v>
      </c>
      <c r="EA187" s="18" t="s">
        <v>5202</v>
      </c>
      <c r="EB187" s="18">
        <v>624</v>
      </c>
      <c r="EC187" s="18" t="s">
        <v>106</v>
      </c>
      <c r="ED187" s="18" t="s">
        <v>5176</v>
      </c>
      <c r="EE187" s="18" t="s">
        <v>106</v>
      </c>
      <c r="EF187" s="18" t="s">
        <v>106</v>
      </c>
      <c r="EG187" s="18" t="s">
        <v>5148</v>
      </c>
      <c r="EH187" s="18" t="s">
        <v>5203</v>
      </c>
      <c r="EI187" s="18" t="s">
        <v>5204</v>
      </c>
      <c r="EJ187" s="18" t="s">
        <v>5468</v>
      </c>
      <c r="EK187" s="18" t="s">
        <v>113</v>
      </c>
      <c r="EL187" s="18" t="s">
        <v>5852</v>
      </c>
      <c r="EM187" s="18">
        <v>0</v>
      </c>
      <c r="EN187" s="18" t="s">
        <v>113</v>
      </c>
      <c r="EO187" s="18" t="s">
        <v>113</v>
      </c>
      <c r="EP187" s="18" t="s">
        <v>113</v>
      </c>
      <c r="EQ187" s="18" t="s">
        <v>106</v>
      </c>
      <c r="ER187" s="18" t="s">
        <v>5206</v>
      </c>
      <c r="ES187" s="18" t="s">
        <v>5153</v>
      </c>
      <c r="ET187" s="18" t="s">
        <v>5154</v>
      </c>
      <c r="EU187" s="18" t="s">
        <v>5155</v>
      </c>
      <c r="EV187" s="18" t="s">
        <v>5329</v>
      </c>
      <c r="EW187" s="18" t="s">
        <v>5844</v>
      </c>
      <c r="EX187" s="18" t="s">
        <v>5158</v>
      </c>
      <c r="EY187" s="18" t="s">
        <v>5278</v>
      </c>
      <c r="EZ187" s="18" t="s">
        <v>5160</v>
      </c>
      <c r="FA187" s="18" t="s">
        <v>144</v>
      </c>
      <c r="FB187" s="18" t="s">
        <v>5161</v>
      </c>
    </row>
    <row r="188" spans="1:158" ht="10.5" customHeight="1" x14ac:dyDescent="0.2">
      <c r="A188" s="16">
        <v>41</v>
      </c>
      <c r="B188" s="16" t="s">
        <v>1719</v>
      </c>
      <c r="C188" s="16" t="s">
        <v>1718</v>
      </c>
      <c r="D188" s="16">
        <v>295500</v>
      </c>
      <c r="E188" s="16" t="s">
        <v>6659</v>
      </c>
      <c r="F188" s="18" t="s">
        <v>1718</v>
      </c>
      <c r="G188" s="18" t="s">
        <v>106</v>
      </c>
      <c r="H188" s="15" t="s">
        <v>5127</v>
      </c>
      <c r="I188" s="18">
        <v>17</v>
      </c>
      <c r="J188" s="18">
        <v>15</v>
      </c>
      <c r="K188" s="18">
        <v>2</v>
      </c>
      <c r="L188" s="18">
        <v>0</v>
      </c>
      <c r="M188" s="18" t="s">
        <v>5183</v>
      </c>
      <c r="N188" s="18" t="s">
        <v>5853</v>
      </c>
      <c r="O188" s="18">
        <v>46544</v>
      </c>
      <c r="T188" s="18" t="s">
        <v>5854</v>
      </c>
      <c r="U188" s="18" t="s">
        <v>5185</v>
      </c>
      <c r="V188" s="18" t="s">
        <v>106</v>
      </c>
      <c r="W188" s="18" t="s">
        <v>5211</v>
      </c>
      <c r="Y188" s="18" t="s">
        <v>5232</v>
      </c>
      <c r="Z188" s="18" t="s">
        <v>106</v>
      </c>
      <c r="AA188" s="18" t="s">
        <v>5163</v>
      </c>
      <c r="AB188" s="18" t="s">
        <v>179</v>
      </c>
      <c r="AC188" s="18" t="s">
        <v>5127</v>
      </c>
      <c r="AD188" s="18" t="s">
        <v>5127</v>
      </c>
      <c r="AE188" s="18" t="s">
        <v>5127</v>
      </c>
      <c r="AF188" s="18" t="s">
        <v>5127</v>
      </c>
      <c r="AG188" s="18" t="s">
        <v>5127</v>
      </c>
      <c r="AH188" s="18" t="s">
        <v>5127</v>
      </c>
      <c r="AI188" s="18">
        <v>1</v>
      </c>
      <c r="AK188" s="18" t="s">
        <v>5279</v>
      </c>
      <c r="AN188" s="18">
        <v>0</v>
      </c>
      <c r="AO188" s="18" t="s">
        <v>5186</v>
      </c>
      <c r="AP188" s="18" t="s">
        <v>5855</v>
      </c>
      <c r="AQ188" s="18" t="s">
        <v>5856</v>
      </c>
      <c r="AR188" s="18" t="s">
        <v>5803</v>
      </c>
      <c r="AT188" s="17">
        <f>(365*D188*0.7)/1000</f>
        <v>75500.25</v>
      </c>
      <c r="AU188" s="17">
        <f t="shared" si="5"/>
        <v>79</v>
      </c>
      <c r="AV188" s="18">
        <v>79</v>
      </c>
      <c r="AW188" s="18">
        <v>0</v>
      </c>
      <c r="AY188" s="18" t="s">
        <v>5857</v>
      </c>
      <c r="AZ188" s="18">
        <v>0</v>
      </c>
      <c r="BA188" s="18">
        <v>0</v>
      </c>
      <c r="BB188" s="18">
        <v>0</v>
      </c>
      <c r="BD188" s="18">
        <v>0</v>
      </c>
      <c r="BE188" s="18">
        <v>0</v>
      </c>
      <c r="BG188" s="18" t="s">
        <v>5238</v>
      </c>
      <c r="BH188" s="18">
        <v>0</v>
      </c>
      <c r="BI188" s="18">
        <v>0</v>
      </c>
      <c r="BJ188" s="18">
        <v>0</v>
      </c>
      <c r="BQ188" s="18">
        <v>244.95</v>
      </c>
      <c r="BR188" s="18">
        <v>120.71</v>
      </c>
      <c r="BS188" s="18">
        <v>48.75</v>
      </c>
      <c r="BT188" s="18">
        <v>112.42</v>
      </c>
      <c r="BU188" s="18">
        <v>0</v>
      </c>
      <c r="BV188" s="18">
        <v>526.83000000000004</v>
      </c>
      <c r="BW188" s="15">
        <f t="shared" si="6"/>
        <v>526.82999999999993</v>
      </c>
      <c r="BY188" s="18" t="s">
        <v>5858</v>
      </c>
      <c r="BZ188" s="18" t="s">
        <v>5494</v>
      </c>
      <c r="CD188" s="18" t="s">
        <v>5127</v>
      </c>
      <c r="CE188" s="18" t="s">
        <v>5127</v>
      </c>
      <c r="CF188" s="18" t="s">
        <v>5135</v>
      </c>
      <c r="CG188" s="18" t="s">
        <v>5193</v>
      </c>
      <c r="CH188" s="18" t="s">
        <v>5194</v>
      </c>
      <c r="CI188" s="18" t="s">
        <v>5195</v>
      </c>
      <c r="CJ188" s="18" t="s">
        <v>5196</v>
      </c>
      <c r="CK188" s="18" t="s">
        <v>5197</v>
      </c>
      <c r="CL188" s="18">
        <v>3</v>
      </c>
      <c r="CM188" s="18">
        <v>0</v>
      </c>
      <c r="CN188" s="18">
        <v>0</v>
      </c>
      <c r="CO188" s="18">
        <v>1</v>
      </c>
      <c r="CP188" s="18">
        <v>1</v>
      </c>
      <c r="CQ188" s="18">
        <v>2</v>
      </c>
      <c r="CR188" s="18">
        <v>2</v>
      </c>
      <c r="CS188" s="18" t="s">
        <v>5141</v>
      </c>
      <c r="CT188" s="18">
        <v>1</v>
      </c>
      <c r="CU188" s="18">
        <v>1</v>
      </c>
      <c r="CV188" s="18">
        <v>1</v>
      </c>
      <c r="CX188" s="18">
        <v>0</v>
      </c>
      <c r="CY188" s="18">
        <v>0</v>
      </c>
      <c r="CZ188" s="18">
        <v>0</v>
      </c>
      <c r="DA188" s="18">
        <v>0</v>
      </c>
      <c r="DB188" s="18">
        <v>1</v>
      </c>
      <c r="DC188" s="18">
        <v>1</v>
      </c>
      <c r="DD188" s="18">
        <v>0</v>
      </c>
      <c r="DE188" s="18">
        <v>0</v>
      </c>
      <c r="DF188" s="18" t="s">
        <v>5141</v>
      </c>
      <c r="DG188" s="18">
        <v>0</v>
      </c>
      <c r="DH188" s="18">
        <v>1</v>
      </c>
      <c r="DI188" s="18">
        <v>1</v>
      </c>
      <c r="DK188" s="18">
        <v>0</v>
      </c>
      <c r="DL188" s="18">
        <v>0</v>
      </c>
      <c r="DM188" s="18" t="s">
        <v>5127</v>
      </c>
      <c r="DN188" s="18" t="s">
        <v>5299</v>
      </c>
      <c r="DO188" s="18" t="s">
        <v>5488</v>
      </c>
      <c r="DP188" s="18" t="s">
        <v>113</v>
      </c>
      <c r="DS188" s="18">
        <v>0</v>
      </c>
      <c r="DT188" s="18">
        <v>1</v>
      </c>
      <c r="DU188" s="18">
        <v>0</v>
      </c>
      <c r="DV188" s="18" t="s">
        <v>5200</v>
      </c>
      <c r="DX188" s="18" t="s">
        <v>5201</v>
      </c>
      <c r="DY188" s="18" t="s">
        <v>106</v>
      </c>
      <c r="DZ188" s="18" t="s">
        <v>113</v>
      </c>
      <c r="EA188" s="18" t="s">
        <v>5175</v>
      </c>
      <c r="EB188" s="18" t="s">
        <v>5859</v>
      </c>
      <c r="EC188" s="18" t="s">
        <v>106</v>
      </c>
      <c r="ED188" s="18" t="s">
        <v>5147</v>
      </c>
      <c r="EE188" s="18" t="s">
        <v>106</v>
      </c>
      <c r="EF188" s="18" t="s">
        <v>113</v>
      </c>
      <c r="EH188" s="18" t="s">
        <v>5203</v>
      </c>
      <c r="EI188" s="18" t="s">
        <v>5303</v>
      </c>
      <c r="EJ188" s="18" t="s">
        <v>5387</v>
      </c>
      <c r="EK188" s="18" t="s">
        <v>113</v>
      </c>
      <c r="EN188" s="18" t="s">
        <v>113</v>
      </c>
      <c r="EO188" s="18" t="s">
        <v>113</v>
      </c>
      <c r="EP188" s="18" t="s">
        <v>113</v>
      </c>
      <c r="EQ188" s="18" t="s">
        <v>113</v>
      </c>
      <c r="ER188" s="18" t="s">
        <v>5152</v>
      </c>
      <c r="ES188" s="18" t="s">
        <v>5153</v>
      </c>
      <c r="ET188" s="18" t="s">
        <v>5154</v>
      </c>
      <c r="EU188" s="18" t="s">
        <v>5155</v>
      </c>
      <c r="EV188" s="18" t="s">
        <v>5860</v>
      </c>
      <c r="EW188" s="18" t="s">
        <v>5861</v>
      </c>
      <c r="EX188" s="18" t="s">
        <v>5158</v>
      </c>
      <c r="EY188" s="18" t="s">
        <v>5347</v>
      </c>
      <c r="EZ188" s="18" t="s">
        <v>5182</v>
      </c>
      <c r="FA188" s="18" t="s">
        <v>144</v>
      </c>
      <c r="FB188" s="18" t="s">
        <v>5161</v>
      </c>
    </row>
    <row r="189" spans="1:158" ht="10.5" customHeight="1" x14ac:dyDescent="0.2">
      <c r="A189" s="16">
        <v>41</v>
      </c>
      <c r="B189" s="16" t="s">
        <v>1719</v>
      </c>
      <c r="C189" s="16" t="s">
        <v>1718</v>
      </c>
      <c r="D189" s="16">
        <v>295500</v>
      </c>
      <c r="E189" s="16" t="s">
        <v>6659</v>
      </c>
      <c r="F189" s="18" t="s">
        <v>1718</v>
      </c>
      <c r="G189" s="18" t="s">
        <v>106</v>
      </c>
      <c r="H189" s="15" t="s">
        <v>5127</v>
      </c>
      <c r="I189" s="18">
        <v>17</v>
      </c>
      <c r="J189" s="18">
        <v>9</v>
      </c>
      <c r="K189" s="18">
        <v>8</v>
      </c>
      <c r="L189" s="18">
        <v>0</v>
      </c>
      <c r="M189" s="18" t="s">
        <v>5183</v>
      </c>
      <c r="N189" s="18" t="s">
        <v>5862</v>
      </c>
      <c r="O189" s="18">
        <v>46417</v>
      </c>
      <c r="T189" s="18" t="s">
        <v>5382</v>
      </c>
      <c r="U189" s="18" t="s">
        <v>5185</v>
      </c>
      <c r="V189" s="18" t="s">
        <v>106</v>
      </c>
      <c r="W189" s="18" t="s">
        <v>5124</v>
      </c>
      <c r="Y189" s="18" t="s">
        <v>5232</v>
      </c>
      <c r="Z189" s="18" t="s">
        <v>106</v>
      </c>
      <c r="AA189" s="18" t="s">
        <v>5163</v>
      </c>
      <c r="AB189" s="18" t="s">
        <v>5233</v>
      </c>
      <c r="AC189" s="18" t="s">
        <v>5127</v>
      </c>
      <c r="AD189" s="18" t="s">
        <v>5127</v>
      </c>
      <c r="AE189" s="18" t="s">
        <v>5127</v>
      </c>
      <c r="AF189" s="18" t="s">
        <v>5127</v>
      </c>
      <c r="AG189" s="18" t="s">
        <v>5127</v>
      </c>
      <c r="AH189" s="18" t="s">
        <v>5127</v>
      </c>
      <c r="AI189" s="18">
        <v>1</v>
      </c>
      <c r="AK189" s="18" t="s">
        <v>5164</v>
      </c>
      <c r="AN189" s="18">
        <v>580</v>
      </c>
      <c r="AO189" s="18" t="s">
        <v>5863</v>
      </c>
      <c r="AP189" s="18" t="s">
        <v>5864</v>
      </c>
      <c r="AQ189" s="18" t="s">
        <v>5865</v>
      </c>
      <c r="AR189" s="18" t="s">
        <v>5132</v>
      </c>
      <c r="AT189" s="17">
        <f>(365*D189*0.7)/1000</f>
        <v>75500.25</v>
      </c>
      <c r="AU189" s="17">
        <f t="shared" si="5"/>
        <v>144</v>
      </c>
      <c r="AV189" s="18">
        <v>72</v>
      </c>
      <c r="AW189" s="18">
        <v>72</v>
      </c>
      <c r="AY189" s="18" t="s">
        <v>164</v>
      </c>
      <c r="AZ189" s="18">
        <v>0</v>
      </c>
      <c r="BG189" s="18" t="s">
        <v>164</v>
      </c>
      <c r="BQ189" s="18">
        <v>132</v>
      </c>
      <c r="BR189" s="18">
        <v>174</v>
      </c>
      <c r="BS189" s="18">
        <v>84</v>
      </c>
      <c r="BT189" s="18">
        <v>144</v>
      </c>
      <c r="BU189" s="18">
        <v>54</v>
      </c>
      <c r="BV189" s="18">
        <f>SUM(BQ189:BU189)</f>
        <v>588</v>
      </c>
      <c r="BW189" s="15">
        <f t="shared" si="6"/>
        <v>588</v>
      </c>
      <c r="BY189" s="18" t="s">
        <v>5239</v>
      </c>
      <c r="BZ189" s="18" t="s">
        <v>5866</v>
      </c>
      <c r="CD189" s="18" t="s">
        <v>5127</v>
      </c>
      <c r="CE189" s="18" t="s">
        <v>5127</v>
      </c>
      <c r="CF189" s="18" t="s">
        <v>5135</v>
      </c>
      <c r="CG189" s="18" t="s">
        <v>5867</v>
      </c>
      <c r="CH189" s="18" t="s">
        <v>5241</v>
      </c>
      <c r="CI189" s="18" t="s">
        <v>5138</v>
      </c>
      <c r="CJ189" s="18" t="s">
        <v>5196</v>
      </c>
      <c r="CK189" s="18" t="s">
        <v>5197</v>
      </c>
      <c r="CL189" s="18">
        <v>0</v>
      </c>
      <c r="CM189" s="18">
        <v>1</v>
      </c>
      <c r="CN189" s="18">
        <v>0</v>
      </c>
      <c r="CO189" s="18">
        <v>0</v>
      </c>
      <c r="CP189" s="18">
        <v>1</v>
      </c>
      <c r="CQ189" s="18">
        <v>1</v>
      </c>
      <c r="CR189" s="18">
        <v>2</v>
      </c>
      <c r="CS189" s="18" t="s">
        <v>5141</v>
      </c>
      <c r="CT189" s="18">
        <v>0</v>
      </c>
      <c r="CU189" s="18">
        <v>0</v>
      </c>
      <c r="CV189" s="18" t="s">
        <v>5141</v>
      </c>
      <c r="CX189" s="18">
        <v>0</v>
      </c>
      <c r="CY189" s="18">
        <v>1</v>
      </c>
      <c r="CZ189" s="18">
        <v>0</v>
      </c>
      <c r="DA189" s="18">
        <v>0</v>
      </c>
      <c r="DB189" s="18">
        <v>1</v>
      </c>
      <c r="DC189" s="18">
        <v>1</v>
      </c>
      <c r="DD189" s="18">
        <v>0</v>
      </c>
      <c r="DE189" s="18">
        <v>0</v>
      </c>
      <c r="DF189" s="18">
        <v>0</v>
      </c>
      <c r="DG189" s="18">
        <v>1</v>
      </c>
      <c r="DH189" s="18">
        <v>1</v>
      </c>
      <c r="DI189" s="18">
        <v>0</v>
      </c>
      <c r="DK189" s="18">
        <v>0</v>
      </c>
      <c r="DL189" s="18">
        <v>0</v>
      </c>
      <c r="DM189" s="18" t="s">
        <v>5127</v>
      </c>
      <c r="DN189" s="18" t="s">
        <v>5258</v>
      </c>
      <c r="DO189" s="18" t="s">
        <v>5705</v>
      </c>
      <c r="DP189" s="18" t="s">
        <v>113</v>
      </c>
      <c r="DS189" s="18">
        <v>0</v>
      </c>
      <c r="DT189" s="18">
        <v>1</v>
      </c>
      <c r="DU189" s="18">
        <v>1</v>
      </c>
      <c r="DV189" s="18" t="s">
        <v>5868</v>
      </c>
      <c r="DX189" s="18" t="s">
        <v>5222</v>
      </c>
      <c r="DY189" s="18" t="s">
        <v>106</v>
      </c>
      <c r="DZ189" s="18" t="s">
        <v>113</v>
      </c>
      <c r="EA189" s="18" t="s">
        <v>5146</v>
      </c>
      <c r="EB189" s="18">
        <v>580</v>
      </c>
      <c r="EC189" s="18" t="s">
        <v>106</v>
      </c>
      <c r="ED189" s="18" t="s">
        <v>5147</v>
      </c>
      <c r="EE189" s="18" t="s">
        <v>106</v>
      </c>
      <c r="EF189" s="18" t="s">
        <v>113</v>
      </c>
      <c r="EG189" s="18" t="s">
        <v>5404</v>
      </c>
      <c r="EH189" s="18" t="s">
        <v>5203</v>
      </c>
      <c r="EI189" s="18" t="s">
        <v>5204</v>
      </c>
      <c r="EJ189" s="18" t="s">
        <v>5287</v>
      </c>
      <c r="EK189" s="18" t="s">
        <v>113</v>
      </c>
      <c r="EN189" s="18" t="s">
        <v>113</v>
      </c>
      <c r="EO189" s="18" t="s">
        <v>113</v>
      </c>
      <c r="EP189" s="18" t="s">
        <v>113</v>
      </c>
      <c r="EQ189" s="18" t="s">
        <v>113</v>
      </c>
      <c r="ER189" s="18" t="s">
        <v>5152</v>
      </c>
      <c r="ES189" s="18" t="s">
        <v>5153</v>
      </c>
      <c r="ET189" s="18" t="s">
        <v>5154</v>
      </c>
      <c r="EU189" s="18" t="s">
        <v>5155</v>
      </c>
      <c r="EV189" s="18" t="s">
        <v>5869</v>
      </c>
      <c r="EW189" s="18" t="s">
        <v>5870</v>
      </c>
      <c r="EX189" s="18" t="s">
        <v>5158</v>
      </c>
      <c r="EY189" s="18" t="s">
        <v>5800</v>
      </c>
      <c r="EZ189" s="18" t="s">
        <v>5182</v>
      </c>
      <c r="FA189" s="18" t="s">
        <v>144</v>
      </c>
      <c r="FB189" s="18" t="s">
        <v>5161</v>
      </c>
    </row>
    <row r="190" spans="1:158" ht="10.5" customHeight="1" x14ac:dyDescent="0.2">
      <c r="A190" s="16">
        <v>41</v>
      </c>
      <c r="B190" s="16" t="s">
        <v>1719</v>
      </c>
      <c r="C190" s="16" t="s">
        <v>1718</v>
      </c>
      <c r="D190" s="16">
        <v>295500</v>
      </c>
      <c r="E190" s="16" t="s">
        <v>6659</v>
      </c>
      <c r="F190" s="18" t="s">
        <v>1718</v>
      </c>
      <c r="G190" s="18" t="s">
        <v>106</v>
      </c>
      <c r="H190" s="15" t="s">
        <v>5127</v>
      </c>
      <c r="I190" s="18">
        <v>20</v>
      </c>
      <c r="J190" s="18">
        <v>12</v>
      </c>
      <c r="K190" s="18" t="s">
        <v>1657</v>
      </c>
      <c r="L190" s="18">
        <v>0</v>
      </c>
      <c r="M190" s="18" t="s">
        <v>5183</v>
      </c>
      <c r="N190" s="18">
        <v>284884</v>
      </c>
      <c r="O190" s="18">
        <v>45984</v>
      </c>
      <c r="T190" s="18" t="s">
        <v>111</v>
      </c>
      <c r="U190" s="18" t="s">
        <v>5185</v>
      </c>
      <c r="V190" s="18" t="s">
        <v>106</v>
      </c>
      <c r="W190" s="18" t="s">
        <v>5124</v>
      </c>
      <c r="Y190" s="18" t="s">
        <v>5162</v>
      </c>
      <c r="Z190" s="18" t="s">
        <v>106</v>
      </c>
      <c r="AA190" s="18" t="s">
        <v>5163</v>
      </c>
      <c r="AB190" s="18" t="s">
        <v>179</v>
      </c>
      <c r="AC190" s="18" t="s">
        <v>5127</v>
      </c>
      <c r="AD190" s="18" t="s">
        <v>5127</v>
      </c>
      <c r="AE190" s="18" t="s">
        <v>5127</v>
      </c>
      <c r="AF190" s="18" t="s">
        <v>111</v>
      </c>
      <c r="AG190" s="18" t="s">
        <v>5127</v>
      </c>
      <c r="AH190" s="18" t="s">
        <v>5127</v>
      </c>
      <c r="AI190" s="18">
        <v>1</v>
      </c>
      <c r="AK190" s="18" t="s">
        <v>5424</v>
      </c>
      <c r="AN190" s="18">
        <v>600</v>
      </c>
      <c r="AO190" s="18" t="s">
        <v>5186</v>
      </c>
      <c r="AP190" s="18" t="s">
        <v>5871</v>
      </c>
      <c r="AQ190" s="18" t="s">
        <v>5442</v>
      </c>
      <c r="AR190" s="18" t="s">
        <v>5132</v>
      </c>
      <c r="AT190" s="17">
        <f>(365*D190*0.7)/1000</f>
        <v>75500.25</v>
      </c>
      <c r="AU190" s="17">
        <f t="shared" si="5"/>
        <v>72</v>
      </c>
      <c r="AV190" s="18">
        <v>72</v>
      </c>
      <c r="AW190" s="18">
        <v>0</v>
      </c>
      <c r="AY190" s="18" t="s">
        <v>5728</v>
      </c>
      <c r="AZ190" s="18">
        <v>0</v>
      </c>
      <c r="BA190" s="18">
        <v>0</v>
      </c>
      <c r="BB190" s="18">
        <v>0</v>
      </c>
      <c r="BD190" s="18">
        <v>0</v>
      </c>
      <c r="BE190" s="18">
        <v>0</v>
      </c>
      <c r="BG190" s="18" t="s">
        <v>5238</v>
      </c>
      <c r="BH190" s="18">
        <f>2100/1000</f>
        <v>2.1</v>
      </c>
      <c r="BI190" s="18">
        <v>0</v>
      </c>
      <c r="BJ190" s="18">
        <v>0</v>
      </c>
      <c r="BQ190" s="18">
        <v>156</v>
      </c>
      <c r="BR190" s="18">
        <v>204</v>
      </c>
      <c r="BS190" s="18">
        <v>48</v>
      </c>
      <c r="BT190" s="18">
        <v>132</v>
      </c>
      <c r="BU190" s="18">
        <v>0</v>
      </c>
      <c r="BV190" s="18">
        <f>SUM(BQ190:BU190)</f>
        <v>540</v>
      </c>
      <c r="BW190" s="15">
        <f t="shared" si="6"/>
        <v>540</v>
      </c>
      <c r="BY190" s="18" t="s">
        <v>5239</v>
      </c>
      <c r="BZ190" s="18" t="s">
        <v>193</v>
      </c>
      <c r="CD190" s="18" t="s">
        <v>5127</v>
      </c>
      <c r="CE190" s="18" t="s">
        <v>5127</v>
      </c>
      <c r="CF190" s="18" t="s">
        <v>5135</v>
      </c>
      <c r="CG190" s="18" t="s">
        <v>5749</v>
      </c>
      <c r="CH190" s="18" t="s">
        <v>5194</v>
      </c>
      <c r="CI190" s="18" t="s">
        <v>5195</v>
      </c>
      <c r="CJ190" s="18" t="s">
        <v>5139</v>
      </c>
      <c r="CK190" s="18" t="s">
        <v>5197</v>
      </c>
      <c r="CL190" s="18">
        <v>0</v>
      </c>
      <c r="CM190" s="18">
        <v>1</v>
      </c>
      <c r="CN190" s="18">
        <v>0</v>
      </c>
      <c r="CO190" s="18">
        <v>0</v>
      </c>
      <c r="CP190" s="18">
        <v>1</v>
      </c>
      <c r="CQ190" s="18">
        <v>1</v>
      </c>
      <c r="CR190" s="18">
        <v>0</v>
      </c>
      <c r="CS190" s="18" t="s">
        <v>5141</v>
      </c>
      <c r="CT190" s="18">
        <v>0</v>
      </c>
      <c r="CU190" s="18">
        <v>0</v>
      </c>
      <c r="CV190" s="18" t="s">
        <v>5141</v>
      </c>
      <c r="CX190" s="18">
        <v>2</v>
      </c>
      <c r="CY190" s="18">
        <v>2</v>
      </c>
      <c r="CZ190" s="18">
        <v>0</v>
      </c>
      <c r="DA190" s="18">
        <v>1</v>
      </c>
      <c r="DB190" s="18">
        <v>1</v>
      </c>
      <c r="DC190" s="18">
        <v>2</v>
      </c>
      <c r="DD190" s="18">
        <v>0</v>
      </c>
      <c r="DE190" s="18" t="s">
        <v>5141</v>
      </c>
      <c r="DF190" s="18" t="s">
        <v>5141</v>
      </c>
      <c r="DG190" s="18">
        <v>1</v>
      </c>
      <c r="DH190" s="18">
        <v>1</v>
      </c>
      <c r="DI190" s="18" t="s">
        <v>5141</v>
      </c>
      <c r="DK190" s="18">
        <v>0</v>
      </c>
      <c r="DL190" s="18">
        <v>0</v>
      </c>
      <c r="DM190" s="18" t="s">
        <v>5127</v>
      </c>
      <c r="DN190" s="18" t="s">
        <v>5299</v>
      </c>
      <c r="DO190" s="18" t="s">
        <v>5315</v>
      </c>
      <c r="DP190" s="18" t="s">
        <v>113</v>
      </c>
      <c r="DS190" s="18" t="s">
        <v>220</v>
      </c>
      <c r="DT190" s="18">
        <v>1</v>
      </c>
      <c r="DU190" s="18">
        <v>1</v>
      </c>
      <c r="DV190" s="18" t="s">
        <v>5342</v>
      </c>
      <c r="DX190" s="18" t="s">
        <v>5201</v>
      </c>
      <c r="DY190" s="18" t="s">
        <v>106</v>
      </c>
      <c r="DZ190" s="18" t="s">
        <v>113</v>
      </c>
      <c r="EA190" s="18" t="s">
        <v>5202</v>
      </c>
      <c r="EB190" s="18">
        <v>600</v>
      </c>
      <c r="EC190" s="18" t="s">
        <v>106</v>
      </c>
      <c r="ED190" s="18" t="s">
        <v>5176</v>
      </c>
      <c r="EE190" s="18" t="s">
        <v>106</v>
      </c>
      <c r="EF190" s="18" t="s">
        <v>106</v>
      </c>
      <c r="EG190" s="18" t="s">
        <v>5148</v>
      </c>
      <c r="EH190" s="18" t="s">
        <v>5203</v>
      </c>
      <c r="EI190" s="18" t="s">
        <v>5204</v>
      </c>
      <c r="EJ190" s="18" t="s">
        <v>5387</v>
      </c>
      <c r="EK190" s="18" t="s">
        <v>5362</v>
      </c>
      <c r="EN190" s="18" t="s">
        <v>106</v>
      </c>
      <c r="EO190" s="18" t="s">
        <v>113</v>
      </c>
      <c r="EP190" s="18" t="s">
        <v>113</v>
      </c>
      <c r="EQ190" s="18" t="s">
        <v>113</v>
      </c>
      <c r="ER190" s="18" t="s">
        <v>5206</v>
      </c>
      <c r="ES190" s="18" t="s">
        <v>5153</v>
      </c>
      <c r="ET190" s="18" t="s">
        <v>5154</v>
      </c>
      <c r="EU190" s="18" t="s">
        <v>5155</v>
      </c>
      <c r="EV190" s="18" t="s">
        <v>5872</v>
      </c>
      <c r="EW190" s="18" t="s">
        <v>5291</v>
      </c>
      <c r="EX190" s="18" t="s">
        <v>5158</v>
      </c>
      <c r="EY190" s="18" t="s">
        <v>5522</v>
      </c>
      <c r="EZ190" s="18" t="s">
        <v>5182</v>
      </c>
      <c r="FA190" s="18" t="s">
        <v>144</v>
      </c>
      <c r="FB190" s="18" t="s">
        <v>5161</v>
      </c>
    </row>
    <row r="191" spans="1:158" ht="10.5" customHeight="1" x14ac:dyDescent="0.2">
      <c r="A191" s="16">
        <v>41</v>
      </c>
      <c r="B191" s="16" t="s">
        <v>1719</v>
      </c>
      <c r="C191" s="16" t="s">
        <v>1718</v>
      </c>
      <c r="D191" s="16">
        <v>295500</v>
      </c>
      <c r="E191" s="16" t="s">
        <v>6659</v>
      </c>
      <c r="F191" s="18" t="s">
        <v>1718</v>
      </c>
      <c r="G191" s="18" t="s">
        <v>106</v>
      </c>
      <c r="H191" s="15" t="s">
        <v>5127</v>
      </c>
      <c r="I191" s="18">
        <v>20</v>
      </c>
      <c r="J191" s="18">
        <v>16</v>
      </c>
      <c r="K191" s="18">
        <v>4</v>
      </c>
      <c r="L191" s="18">
        <v>0</v>
      </c>
      <c r="M191" s="18" t="s">
        <v>5183</v>
      </c>
      <c r="N191" s="18" t="s">
        <v>5873</v>
      </c>
      <c r="T191" s="18" t="s">
        <v>111</v>
      </c>
      <c r="U191" s="18" t="s">
        <v>5250</v>
      </c>
      <c r="V191" s="18" t="s">
        <v>106</v>
      </c>
      <c r="W191" s="18" t="s">
        <v>5124</v>
      </c>
      <c r="Y191" s="18" t="s">
        <v>5232</v>
      </c>
      <c r="Z191" s="18" t="s">
        <v>106</v>
      </c>
      <c r="AA191" s="18" t="s">
        <v>5163</v>
      </c>
      <c r="AB191" s="18" t="s">
        <v>179</v>
      </c>
      <c r="AC191" s="18" t="s">
        <v>5127</v>
      </c>
      <c r="AD191" s="18" t="s">
        <v>5127</v>
      </c>
      <c r="AE191" s="18" t="s">
        <v>5127</v>
      </c>
      <c r="AF191" s="18" t="s">
        <v>5127</v>
      </c>
      <c r="AG191" s="18" t="s">
        <v>5127</v>
      </c>
      <c r="AH191" s="18" t="s">
        <v>5127</v>
      </c>
      <c r="AI191" s="18">
        <v>1</v>
      </c>
      <c r="AK191" s="18" t="s">
        <v>5279</v>
      </c>
      <c r="AN191" s="18">
        <v>480</v>
      </c>
      <c r="AO191" s="18" t="s">
        <v>5186</v>
      </c>
      <c r="AP191" s="18" t="s">
        <v>5874</v>
      </c>
      <c r="AQ191" s="18" t="s">
        <v>5875</v>
      </c>
      <c r="AR191" s="18" t="s">
        <v>5727</v>
      </c>
      <c r="AT191" s="17">
        <f>(365*D191*0.7)/1000</f>
        <v>75500.25</v>
      </c>
      <c r="AU191" s="17">
        <f t="shared" si="5"/>
        <v>0</v>
      </c>
      <c r="AV191" s="18">
        <v>0</v>
      </c>
      <c r="AW191" s="18">
        <v>0</v>
      </c>
      <c r="AY191" s="18" t="s">
        <v>164</v>
      </c>
      <c r="AZ191" s="18">
        <f>300/1000</f>
        <v>0.3</v>
      </c>
      <c r="BA191" s="18">
        <v>0</v>
      </c>
      <c r="BB191" s="18">
        <v>0</v>
      </c>
      <c r="BD191" s="18">
        <v>0</v>
      </c>
      <c r="BE191" s="18">
        <v>0</v>
      </c>
      <c r="BG191" s="18" t="s">
        <v>5238</v>
      </c>
      <c r="BH191" s="18">
        <f>3600/1000</f>
        <v>3.6</v>
      </c>
      <c r="BQ191" s="18">
        <v>300</v>
      </c>
      <c r="BR191" s="18">
        <v>1000</v>
      </c>
      <c r="BS191" s="18">
        <v>10</v>
      </c>
      <c r="BT191" s="18">
        <f>120000/1000</f>
        <v>120</v>
      </c>
      <c r="BU191" s="18">
        <v>20</v>
      </c>
      <c r="BV191" s="18">
        <f t="shared" ref="BV191:BV193" si="7">SUM(BQ191:BU191)</f>
        <v>1450</v>
      </c>
      <c r="BW191" s="15">
        <f t="shared" si="6"/>
        <v>1450</v>
      </c>
      <c r="BY191" s="18" t="s">
        <v>5340</v>
      </c>
      <c r="BZ191" s="18" t="s">
        <v>5688</v>
      </c>
      <c r="CD191" s="18" t="s">
        <v>5127</v>
      </c>
      <c r="CE191" s="18" t="s">
        <v>5127</v>
      </c>
      <c r="CF191" s="18" t="s">
        <v>5282</v>
      </c>
      <c r="CG191" s="18" t="s">
        <v>5876</v>
      </c>
      <c r="CH191" s="18" t="s">
        <v>5241</v>
      </c>
      <c r="CI191" s="18" t="s">
        <v>5138</v>
      </c>
      <c r="CJ191" s="18" t="s">
        <v>5196</v>
      </c>
      <c r="CK191" s="18" t="s">
        <v>5197</v>
      </c>
      <c r="CL191" s="18">
        <v>1</v>
      </c>
      <c r="CM191" s="18">
        <v>0</v>
      </c>
      <c r="CN191" s="18">
        <v>0</v>
      </c>
      <c r="CO191" s="18">
        <v>1</v>
      </c>
      <c r="CP191" s="18">
        <v>1</v>
      </c>
      <c r="CQ191" s="18">
        <v>1</v>
      </c>
      <c r="CR191" s="18">
        <v>0</v>
      </c>
      <c r="CS191" s="18" t="s">
        <v>5141</v>
      </c>
      <c r="CT191" s="18">
        <v>0</v>
      </c>
      <c r="CU191" s="18">
        <v>1</v>
      </c>
      <c r="CV191" s="18" t="s">
        <v>5141</v>
      </c>
      <c r="CX191" s="18">
        <v>0</v>
      </c>
      <c r="CY191" s="18">
        <v>0</v>
      </c>
      <c r="CZ191" s="18">
        <v>1</v>
      </c>
      <c r="DA191" s="18">
        <v>1</v>
      </c>
      <c r="DB191" s="18">
        <v>0</v>
      </c>
      <c r="DC191" s="18">
        <v>0</v>
      </c>
      <c r="DD191" s="18">
        <v>0</v>
      </c>
      <c r="DE191" s="18">
        <v>0</v>
      </c>
      <c r="DF191" s="18">
        <v>0</v>
      </c>
      <c r="DG191" s="18">
        <v>1</v>
      </c>
      <c r="DH191" s="18">
        <v>0</v>
      </c>
      <c r="DI191" s="18">
        <v>0</v>
      </c>
      <c r="DK191" s="18">
        <v>0</v>
      </c>
      <c r="DL191" s="18">
        <v>0</v>
      </c>
      <c r="DM191" s="18" t="s">
        <v>5127</v>
      </c>
      <c r="DN191" s="18" t="s">
        <v>5172</v>
      </c>
      <c r="DO191" s="18" t="s">
        <v>5877</v>
      </c>
      <c r="DP191" s="18" t="s">
        <v>106</v>
      </c>
      <c r="DQ191" s="18" t="s">
        <v>5727</v>
      </c>
      <c r="DS191" s="18">
        <v>0</v>
      </c>
      <c r="DT191" s="18">
        <v>1</v>
      </c>
      <c r="DU191" s="18">
        <v>0</v>
      </c>
      <c r="DV191" s="18" t="s">
        <v>5403</v>
      </c>
      <c r="DX191" s="18" t="s">
        <v>5222</v>
      </c>
      <c r="DY191" s="18" t="s">
        <v>106</v>
      </c>
      <c r="DZ191" s="18" t="s">
        <v>113</v>
      </c>
      <c r="EA191" s="18" t="s">
        <v>5202</v>
      </c>
      <c r="EB191" s="18">
        <v>480</v>
      </c>
      <c r="EC191" s="18" t="s">
        <v>106</v>
      </c>
      <c r="ED191" s="18" t="s">
        <v>5147</v>
      </c>
      <c r="EE191" s="18" t="s">
        <v>106</v>
      </c>
      <c r="EF191" s="18" t="s">
        <v>113</v>
      </c>
      <c r="EG191" s="18" t="s">
        <v>5148</v>
      </c>
      <c r="EH191" s="18" t="s">
        <v>5203</v>
      </c>
      <c r="EI191" s="18" t="s">
        <v>5204</v>
      </c>
      <c r="EJ191" s="18" t="s">
        <v>5646</v>
      </c>
      <c r="EK191" s="18" t="s">
        <v>5878</v>
      </c>
      <c r="EL191" s="18" t="s">
        <v>5879</v>
      </c>
      <c r="EM191" s="18" t="s">
        <v>5289</v>
      </c>
      <c r="EN191" s="18" t="s">
        <v>106</v>
      </c>
      <c r="EO191" s="18" t="s">
        <v>113</v>
      </c>
      <c r="EP191" s="18" t="s">
        <v>113</v>
      </c>
      <c r="EQ191" s="18" t="s">
        <v>106</v>
      </c>
      <c r="ER191" s="18" t="s">
        <v>5206</v>
      </c>
      <c r="ES191" s="18" t="s">
        <v>5153</v>
      </c>
      <c r="ET191" s="18" t="s">
        <v>5154</v>
      </c>
      <c r="EU191" s="18" t="s">
        <v>5155</v>
      </c>
      <c r="EV191" s="18" t="s">
        <v>5880</v>
      </c>
      <c r="EW191" s="18" t="s">
        <v>5881</v>
      </c>
      <c r="EX191" s="18" t="s">
        <v>5158</v>
      </c>
      <c r="EY191" s="18" t="s">
        <v>5159</v>
      </c>
      <c r="EZ191" s="18" t="s">
        <v>5182</v>
      </c>
      <c r="FA191" s="18" t="s">
        <v>144</v>
      </c>
      <c r="FB191" s="18" t="s">
        <v>5161</v>
      </c>
    </row>
    <row r="192" spans="1:158" ht="10.5" customHeight="1" x14ac:dyDescent="0.2">
      <c r="A192" s="16">
        <v>41</v>
      </c>
      <c r="B192" s="16" t="s">
        <v>1719</v>
      </c>
      <c r="C192" s="16" t="s">
        <v>1718</v>
      </c>
      <c r="D192" s="16">
        <v>295500</v>
      </c>
      <c r="E192" s="16" t="s">
        <v>6659</v>
      </c>
      <c r="F192" s="18" t="s">
        <v>1718</v>
      </c>
      <c r="G192" s="18" t="s">
        <v>106</v>
      </c>
      <c r="H192" s="15" t="s">
        <v>5127</v>
      </c>
      <c r="I192" s="18">
        <v>24</v>
      </c>
      <c r="J192" s="18">
        <v>18</v>
      </c>
      <c r="K192" s="18">
        <v>6</v>
      </c>
      <c r="L192" s="18">
        <v>0</v>
      </c>
      <c r="M192" s="18" t="s">
        <v>5183</v>
      </c>
      <c r="N192" s="18" t="s">
        <v>5882</v>
      </c>
      <c r="T192" s="18" t="s">
        <v>5382</v>
      </c>
      <c r="U192" s="18" t="s">
        <v>5185</v>
      </c>
      <c r="V192" s="18" t="s">
        <v>106</v>
      </c>
      <c r="W192" s="18" t="s">
        <v>5124</v>
      </c>
      <c r="Y192" s="18" t="s">
        <v>5574</v>
      </c>
      <c r="Z192" s="18" t="s">
        <v>106</v>
      </c>
      <c r="AA192" s="18" t="s">
        <v>5163</v>
      </c>
      <c r="AB192" s="18" t="s">
        <v>5213</v>
      </c>
      <c r="AC192" s="18" t="s">
        <v>5127</v>
      </c>
      <c r="AD192" s="18" t="s">
        <v>5127</v>
      </c>
      <c r="AE192" s="18" t="s">
        <v>5127</v>
      </c>
      <c r="AF192" s="18" t="s">
        <v>5127</v>
      </c>
      <c r="AG192" s="18" t="s">
        <v>5127</v>
      </c>
      <c r="AH192" s="18" t="s">
        <v>5127</v>
      </c>
      <c r="AI192" s="18">
        <v>1</v>
      </c>
      <c r="AK192" s="18" t="s">
        <v>5164</v>
      </c>
      <c r="AN192" s="18">
        <v>600</v>
      </c>
      <c r="AO192" s="18" t="s">
        <v>5186</v>
      </c>
      <c r="AP192" s="18" t="s">
        <v>5883</v>
      </c>
      <c r="AQ192" s="18" t="s">
        <v>5884</v>
      </c>
      <c r="AR192" s="18" t="s">
        <v>5885</v>
      </c>
      <c r="AT192" s="17">
        <f>(365*D192*0.7)/1000</f>
        <v>75500.25</v>
      </c>
      <c r="AU192" s="17">
        <f t="shared" si="5"/>
        <v>156</v>
      </c>
      <c r="AV192" s="18">
        <v>78</v>
      </c>
      <c r="AW192" s="18">
        <v>78</v>
      </c>
      <c r="AY192" s="18" t="s">
        <v>164</v>
      </c>
      <c r="AZ192" s="18">
        <v>0</v>
      </c>
      <c r="BA192" s="18">
        <v>0</v>
      </c>
      <c r="BB192" s="18">
        <v>0</v>
      </c>
      <c r="BD192" s="18">
        <v>0</v>
      </c>
      <c r="BE192" s="18">
        <v>0</v>
      </c>
      <c r="BG192" s="18" t="s">
        <v>5549</v>
      </c>
      <c r="BH192" s="18">
        <f>2040/1000</f>
        <v>2.04</v>
      </c>
      <c r="BI192" s="18">
        <v>0</v>
      </c>
      <c r="BJ192" s="18">
        <v>0</v>
      </c>
      <c r="BQ192" s="18">
        <v>240</v>
      </c>
      <c r="BR192" s="18">
        <f>12000/1000</f>
        <v>12</v>
      </c>
      <c r="BS192" s="18">
        <v>24</v>
      </c>
      <c r="BT192" s="18">
        <v>130</v>
      </c>
      <c r="BU192" s="18">
        <v>0</v>
      </c>
      <c r="BV192" s="18">
        <f t="shared" si="7"/>
        <v>406</v>
      </c>
      <c r="BW192" s="15">
        <f t="shared" si="6"/>
        <v>406</v>
      </c>
      <c r="BY192" s="18" t="s">
        <v>5239</v>
      </c>
      <c r="BZ192" s="18" t="s">
        <v>5816</v>
      </c>
      <c r="CD192" s="18" t="s">
        <v>5127</v>
      </c>
      <c r="CE192" s="18" t="s">
        <v>111</v>
      </c>
      <c r="CF192" s="18" t="s">
        <v>5529</v>
      </c>
      <c r="CG192" s="18" t="s">
        <v>5886</v>
      </c>
      <c r="CH192" s="18" t="s">
        <v>5241</v>
      </c>
      <c r="CI192" s="18" t="s">
        <v>5138</v>
      </c>
      <c r="CJ192" s="18" t="s">
        <v>5196</v>
      </c>
      <c r="CK192" s="18" t="s">
        <v>5197</v>
      </c>
      <c r="CL192" s="18">
        <v>1</v>
      </c>
      <c r="CM192" s="18">
        <v>2</v>
      </c>
      <c r="CN192" s="18">
        <v>1</v>
      </c>
      <c r="CO192" s="18">
        <v>1</v>
      </c>
      <c r="CP192" s="18">
        <v>1</v>
      </c>
      <c r="CQ192" s="18" t="s">
        <v>5887</v>
      </c>
      <c r="CR192" s="18">
        <v>0</v>
      </c>
      <c r="CS192" s="18" t="s">
        <v>5141</v>
      </c>
      <c r="CT192" s="18">
        <v>0</v>
      </c>
      <c r="CU192" s="18">
        <v>0</v>
      </c>
      <c r="CV192" s="18" t="s">
        <v>5141</v>
      </c>
      <c r="CX192" s="18">
        <v>0</v>
      </c>
      <c r="CY192" s="18">
        <v>0</v>
      </c>
      <c r="CZ192" s="18">
        <v>2</v>
      </c>
      <c r="DA192" s="18">
        <v>0</v>
      </c>
      <c r="DB192" s="18">
        <v>1</v>
      </c>
      <c r="DC192" s="18">
        <v>1</v>
      </c>
      <c r="DD192" s="18">
        <v>1</v>
      </c>
      <c r="DE192" s="18" t="s">
        <v>5888</v>
      </c>
      <c r="DF192" s="18" t="s">
        <v>5141</v>
      </c>
      <c r="DG192" s="18">
        <v>1</v>
      </c>
      <c r="DH192" s="18" t="s">
        <v>5141</v>
      </c>
      <c r="DI192" s="18">
        <v>1</v>
      </c>
      <c r="DK192" s="18">
        <v>1</v>
      </c>
      <c r="DL192" s="18">
        <v>1</v>
      </c>
      <c r="DM192" s="18" t="s">
        <v>5127</v>
      </c>
      <c r="DN192" s="18" t="s">
        <v>5889</v>
      </c>
      <c r="DO192" s="18" t="s">
        <v>5681</v>
      </c>
      <c r="DP192" s="18" t="s">
        <v>113</v>
      </c>
      <c r="DQ192" s="18" t="s">
        <v>179</v>
      </c>
      <c r="DS192" s="18">
        <v>0</v>
      </c>
      <c r="DT192" s="18">
        <v>1</v>
      </c>
      <c r="DU192" s="18">
        <v>1</v>
      </c>
      <c r="DV192" s="18" t="s">
        <v>5260</v>
      </c>
      <c r="DX192" s="18" t="s">
        <v>5222</v>
      </c>
      <c r="DY192" s="18" t="s">
        <v>106</v>
      </c>
      <c r="DZ192" s="18" t="s">
        <v>106</v>
      </c>
      <c r="EA192" s="18" t="s">
        <v>5506</v>
      </c>
      <c r="EB192" s="18">
        <v>600</v>
      </c>
      <c r="EC192" s="18" t="s">
        <v>106</v>
      </c>
      <c r="ED192" s="18" t="s">
        <v>5147</v>
      </c>
      <c r="EE192" s="18" t="s">
        <v>106</v>
      </c>
      <c r="EF192" s="18" t="s">
        <v>113</v>
      </c>
      <c r="EG192" s="18" t="s">
        <v>5148</v>
      </c>
      <c r="EH192" s="18" t="s">
        <v>5203</v>
      </c>
      <c r="EI192" s="18" t="s">
        <v>5303</v>
      </c>
      <c r="EJ192" s="18" t="s">
        <v>5245</v>
      </c>
      <c r="EK192" s="18" t="s">
        <v>113</v>
      </c>
      <c r="EL192" s="18" t="s">
        <v>5890</v>
      </c>
      <c r="EM192" s="18" t="s">
        <v>5890</v>
      </c>
      <c r="EN192" s="18" t="s">
        <v>113</v>
      </c>
      <c r="EO192" s="18" t="s">
        <v>113</v>
      </c>
      <c r="EP192" s="18" t="s">
        <v>113</v>
      </c>
      <c r="EQ192" s="18" t="s">
        <v>113</v>
      </c>
      <c r="ER192" s="18" t="s">
        <v>5152</v>
      </c>
      <c r="ES192" s="18" t="s">
        <v>5153</v>
      </c>
      <c r="ET192" s="18" t="s">
        <v>5154</v>
      </c>
      <c r="EU192" s="18" t="s">
        <v>5155</v>
      </c>
      <c r="EV192" s="18" t="s">
        <v>5891</v>
      </c>
      <c r="EW192" s="18" t="s">
        <v>5892</v>
      </c>
      <c r="EX192" s="18" t="s">
        <v>5158</v>
      </c>
      <c r="EY192" s="18" t="s">
        <v>5181</v>
      </c>
      <c r="EZ192" s="18" t="s">
        <v>5182</v>
      </c>
      <c r="FA192" s="18" t="s">
        <v>144</v>
      </c>
      <c r="FB192" s="18" t="s">
        <v>5161</v>
      </c>
    </row>
    <row r="193" spans="1:158" ht="10.5" customHeight="1" x14ac:dyDescent="0.2">
      <c r="A193" s="16">
        <v>41</v>
      </c>
      <c r="B193" s="16" t="s">
        <v>1719</v>
      </c>
      <c r="C193" s="16" t="s">
        <v>1718</v>
      </c>
      <c r="D193" s="16">
        <v>295500</v>
      </c>
      <c r="E193" s="16" t="s">
        <v>6659</v>
      </c>
      <c r="F193" s="18" t="s">
        <v>1718</v>
      </c>
      <c r="G193" s="18" t="s">
        <v>106</v>
      </c>
      <c r="H193" s="15" t="s">
        <v>5127</v>
      </c>
      <c r="I193" s="18">
        <v>20</v>
      </c>
      <c r="J193" s="18">
        <v>10</v>
      </c>
      <c r="K193" s="18">
        <v>10</v>
      </c>
      <c r="M193" s="18" t="s">
        <v>5183</v>
      </c>
      <c r="N193" s="18">
        <v>304197</v>
      </c>
      <c r="O193" s="18">
        <v>46263</v>
      </c>
      <c r="T193" s="18" t="s">
        <v>111</v>
      </c>
      <c r="U193" s="18" t="s">
        <v>5123</v>
      </c>
      <c r="V193" s="18" t="s">
        <v>106</v>
      </c>
      <c r="W193" s="18" t="s">
        <v>5124</v>
      </c>
      <c r="Y193" s="18" t="s">
        <v>5232</v>
      </c>
      <c r="Z193" s="18" t="s">
        <v>106</v>
      </c>
      <c r="AA193" s="18" t="s">
        <v>5163</v>
      </c>
      <c r="AB193" s="18" t="s">
        <v>5233</v>
      </c>
      <c r="AC193" s="18" t="s">
        <v>5127</v>
      </c>
      <c r="AD193" s="18" t="s">
        <v>5127</v>
      </c>
      <c r="AE193" s="18" t="s">
        <v>5127</v>
      </c>
      <c r="AF193" s="18" t="s">
        <v>111</v>
      </c>
      <c r="AG193" s="18" t="s">
        <v>5127</v>
      </c>
      <c r="AH193" s="18" t="s">
        <v>5127</v>
      </c>
      <c r="AI193" s="18">
        <v>1</v>
      </c>
      <c r="AK193" s="18" t="s">
        <v>5279</v>
      </c>
      <c r="AN193" s="18">
        <v>382294</v>
      </c>
      <c r="AO193" s="18" t="s">
        <v>5186</v>
      </c>
      <c r="AP193" s="18" t="s">
        <v>5893</v>
      </c>
      <c r="AQ193" s="18" t="s">
        <v>5711</v>
      </c>
      <c r="AR193" s="18" t="s">
        <v>179</v>
      </c>
      <c r="AT193" s="17">
        <f>(365*D193*0.7)/1000</f>
        <v>75500.25</v>
      </c>
      <c r="AU193" s="17">
        <f t="shared" si="5"/>
        <v>49864</v>
      </c>
      <c r="AV193" s="18">
        <v>49864</v>
      </c>
      <c r="AW193" s="18">
        <v>0</v>
      </c>
      <c r="AY193" s="18" t="s">
        <v>164</v>
      </c>
      <c r="BG193" s="18" t="s">
        <v>5663</v>
      </c>
      <c r="BH193" s="18">
        <v>0</v>
      </c>
      <c r="BI193" s="18">
        <v>0</v>
      </c>
      <c r="BJ193" s="18">
        <v>0</v>
      </c>
      <c r="BQ193" s="18">
        <f>116075/1000</f>
        <v>116.075</v>
      </c>
      <c r="BR193" s="18">
        <f>64178/1000</f>
        <v>64.177999999999997</v>
      </c>
      <c r="BS193" s="18">
        <f>19229/1000</f>
        <v>19.228999999999999</v>
      </c>
      <c r="BT193" s="18">
        <f>132950/1000</f>
        <v>132.94999999999999</v>
      </c>
      <c r="BU193" s="18">
        <v>0</v>
      </c>
      <c r="BV193" s="18">
        <f t="shared" si="7"/>
        <v>332.43199999999996</v>
      </c>
      <c r="BW193" s="15">
        <f t="shared" si="6"/>
        <v>332.43199999999996</v>
      </c>
      <c r="BY193" s="18" t="s">
        <v>5894</v>
      </c>
      <c r="BZ193" s="18" t="s">
        <v>5688</v>
      </c>
      <c r="CD193" s="18" t="s">
        <v>5127</v>
      </c>
      <c r="CE193" s="18" t="s">
        <v>111</v>
      </c>
      <c r="CF193" s="18" t="s">
        <v>5135</v>
      </c>
      <c r="CG193" s="18" t="s">
        <v>5895</v>
      </c>
      <c r="CH193" s="18" t="s">
        <v>5194</v>
      </c>
      <c r="CI193" s="18" t="s">
        <v>5138</v>
      </c>
      <c r="CJ193" s="18" t="s">
        <v>5196</v>
      </c>
      <c r="CK193" s="18" t="s">
        <v>5197</v>
      </c>
      <c r="CL193" s="18">
        <v>1</v>
      </c>
      <c r="CM193" s="18">
        <v>0</v>
      </c>
      <c r="CN193" s="18">
        <v>0</v>
      </c>
      <c r="CO193" s="18">
        <v>1</v>
      </c>
      <c r="CP193" s="18">
        <v>1</v>
      </c>
      <c r="CQ193" s="18">
        <v>1</v>
      </c>
      <c r="CR193" s="18">
        <v>0</v>
      </c>
      <c r="CS193" s="18" t="s">
        <v>5141</v>
      </c>
      <c r="CT193" s="18">
        <v>1</v>
      </c>
      <c r="CU193" s="18">
        <v>1</v>
      </c>
      <c r="CV193" s="18">
        <v>0</v>
      </c>
      <c r="CX193" s="18">
        <v>0</v>
      </c>
      <c r="CY193" s="18">
        <v>1</v>
      </c>
      <c r="CZ193" s="18">
        <v>0</v>
      </c>
      <c r="DA193" s="18">
        <v>1</v>
      </c>
      <c r="DB193" s="18">
        <v>1</v>
      </c>
      <c r="DC193" s="18">
        <v>1</v>
      </c>
      <c r="DD193" s="18">
        <v>0</v>
      </c>
      <c r="DE193" s="18">
        <v>0</v>
      </c>
      <c r="DF193" s="18">
        <v>4</v>
      </c>
      <c r="DG193" s="18">
        <v>1</v>
      </c>
      <c r="DH193" s="18">
        <v>0</v>
      </c>
      <c r="DI193" s="18">
        <v>0</v>
      </c>
      <c r="DK193" s="18">
        <v>0</v>
      </c>
      <c r="DL193" s="18">
        <v>0</v>
      </c>
      <c r="DM193" s="18" t="s">
        <v>5127</v>
      </c>
      <c r="DN193" s="18" t="s">
        <v>5172</v>
      </c>
      <c r="DO193" s="18" t="s">
        <v>5315</v>
      </c>
      <c r="DP193" s="18" t="s">
        <v>113</v>
      </c>
      <c r="DQ193" s="18" t="s">
        <v>179</v>
      </c>
      <c r="DS193" s="18">
        <v>0</v>
      </c>
      <c r="DT193" s="18">
        <v>1</v>
      </c>
      <c r="DU193" s="18">
        <v>1</v>
      </c>
      <c r="DV193" s="18" t="s">
        <v>5144</v>
      </c>
      <c r="DX193" s="18" t="s">
        <v>5201</v>
      </c>
      <c r="DY193" s="18" t="s">
        <v>106</v>
      </c>
      <c r="DZ193" s="18" t="s">
        <v>113</v>
      </c>
      <c r="EA193" s="18" t="s">
        <v>5285</v>
      </c>
      <c r="EB193" s="18">
        <v>332431</v>
      </c>
      <c r="EC193" s="18" t="s">
        <v>106</v>
      </c>
      <c r="ED193" s="18" t="s">
        <v>5176</v>
      </c>
      <c r="EE193" s="18" t="s">
        <v>106</v>
      </c>
      <c r="EF193" s="18" t="s">
        <v>113</v>
      </c>
      <c r="EG193" s="18" t="s">
        <v>5148</v>
      </c>
      <c r="EH193" s="18" t="s">
        <v>5203</v>
      </c>
      <c r="EI193" s="18" t="s">
        <v>5204</v>
      </c>
      <c r="EJ193" s="18" t="s">
        <v>5387</v>
      </c>
      <c r="EK193" s="18" t="s">
        <v>113</v>
      </c>
      <c r="EL193" s="18" t="s">
        <v>5896</v>
      </c>
      <c r="EM193" s="18" t="s">
        <v>5897</v>
      </c>
      <c r="EN193" s="18" t="s">
        <v>113</v>
      </c>
      <c r="EO193" s="18" t="s">
        <v>113</v>
      </c>
      <c r="EP193" s="18" t="s">
        <v>113</v>
      </c>
      <c r="EQ193" s="18" t="s">
        <v>113</v>
      </c>
      <c r="ER193" s="18" t="s">
        <v>5152</v>
      </c>
      <c r="ES193" s="18" t="s">
        <v>5153</v>
      </c>
      <c r="ET193" s="18" t="s">
        <v>5154</v>
      </c>
      <c r="EU193" s="18" t="s">
        <v>5155</v>
      </c>
      <c r="EV193" s="18" t="s">
        <v>5898</v>
      </c>
      <c r="EW193" s="18" t="s">
        <v>5380</v>
      </c>
      <c r="EX193" s="18" t="s">
        <v>5307</v>
      </c>
      <c r="EY193" s="18" t="s">
        <v>5181</v>
      </c>
      <c r="EZ193" s="18" t="s">
        <v>5182</v>
      </c>
      <c r="FA193" s="18" t="s">
        <v>144</v>
      </c>
      <c r="FB193" s="18" t="s">
        <v>5161</v>
      </c>
    </row>
    <row r="194" spans="1:158" ht="10.5" customHeight="1" x14ac:dyDescent="0.2">
      <c r="A194" s="16">
        <v>41</v>
      </c>
      <c r="B194" s="16" t="s">
        <v>1733</v>
      </c>
      <c r="C194" s="16" t="s">
        <v>1732</v>
      </c>
      <c r="D194" s="16">
        <v>4925</v>
      </c>
      <c r="E194" s="16" t="s">
        <v>6656</v>
      </c>
      <c r="H194" s="15" t="s">
        <v>6661</v>
      </c>
      <c r="AT194" s="17">
        <f>(365*D194*0.7)/1000</f>
        <v>1258.3375000000001</v>
      </c>
      <c r="AU194" s="17">
        <f t="shared" si="5"/>
        <v>0</v>
      </c>
      <c r="BW194" s="15">
        <f t="shared" si="6"/>
        <v>0</v>
      </c>
    </row>
    <row r="195" spans="1:158" ht="10.5" customHeight="1" x14ac:dyDescent="0.2">
      <c r="A195" s="16">
        <v>41</v>
      </c>
      <c r="B195" s="16" t="s">
        <v>1747</v>
      </c>
      <c r="C195" s="16" t="s">
        <v>1746</v>
      </c>
      <c r="D195" s="16">
        <v>8464</v>
      </c>
      <c r="E195" s="16" t="s">
        <v>6656</v>
      </c>
      <c r="F195" s="18" t="s">
        <v>1746</v>
      </c>
      <c r="G195" s="18" t="s">
        <v>106</v>
      </c>
      <c r="H195" s="15" t="s">
        <v>5127</v>
      </c>
      <c r="I195" s="18">
        <v>12</v>
      </c>
      <c r="J195" s="18">
        <v>6</v>
      </c>
      <c r="K195" s="18">
        <v>6</v>
      </c>
      <c r="M195" s="18" t="s">
        <v>5183</v>
      </c>
      <c r="N195" s="18">
        <v>0</v>
      </c>
      <c r="T195" s="18" t="s">
        <v>111</v>
      </c>
      <c r="U195" s="18" t="s">
        <v>5250</v>
      </c>
      <c r="V195" s="18" t="s">
        <v>106</v>
      </c>
      <c r="W195" s="18" t="s">
        <v>5124</v>
      </c>
      <c r="Y195" s="18" t="s">
        <v>5232</v>
      </c>
      <c r="Z195" s="18" t="s">
        <v>106</v>
      </c>
      <c r="AA195" s="18" t="s">
        <v>5163</v>
      </c>
      <c r="AB195" s="18" t="s">
        <v>179</v>
      </c>
      <c r="AC195" s="18" t="s">
        <v>5127</v>
      </c>
      <c r="AD195" s="18" t="s">
        <v>5127</v>
      </c>
      <c r="AE195" s="18" t="s">
        <v>5127</v>
      </c>
      <c r="AF195" s="18" t="s">
        <v>5127</v>
      </c>
      <c r="AG195" s="18" t="s">
        <v>5127</v>
      </c>
      <c r="AH195" s="18" t="s">
        <v>5127</v>
      </c>
      <c r="AI195" s="18">
        <v>1</v>
      </c>
      <c r="AK195" s="18" t="s">
        <v>5279</v>
      </c>
      <c r="AN195" s="18">
        <v>370</v>
      </c>
      <c r="AO195" s="18" t="s">
        <v>5186</v>
      </c>
      <c r="AP195" s="18" t="s">
        <v>5899</v>
      </c>
      <c r="AQ195" s="18" t="s">
        <v>5900</v>
      </c>
      <c r="AR195" s="18" t="s">
        <v>5168</v>
      </c>
      <c r="AT195" s="17">
        <f>(365*D195*0.7)/1000</f>
        <v>2162.5520000000001</v>
      </c>
      <c r="AU195" s="17">
        <f t="shared" ref="AU195:AU258" si="8">SUM(AV195:AX195)</f>
        <v>96</v>
      </c>
      <c r="AV195" s="18">
        <v>96</v>
      </c>
      <c r="AW195" s="18">
        <v>0</v>
      </c>
      <c r="AY195" s="18" t="s">
        <v>5848</v>
      </c>
      <c r="BG195" s="18" t="s">
        <v>5663</v>
      </c>
      <c r="BQ195" s="18">
        <v>96</v>
      </c>
      <c r="BR195" s="18">
        <v>81</v>
      </c>
      <c r="BS195" s="18">
        <v>51</v>
      </c>
      <c r="BT195" s="18">
        <v>42</v>
      </c>
      <c r="BU195" s="18">
        <v>1</v>
      </c>
      <c r="BV195" s="18">
        <f>SUM(BQ195:BU195)</f>
        <v>271</v>
      </c>
      <c r="BW195" s="15">
        <f t="shared" si="6"/>
        <v>271</v>
      </c>
      <c r="BY195" s="18" t="s">
        <v>5134</v>
      </c>
      <c r="BZ195" s="18" t="s">
        <v>193</v>
      </c>
      <c r="CD195" s="18" t="s">
        <v>5127</v>
      </c>
      <c r="CE195" s="18" t="s">
        <v>111</v>
      </c>
      <c r="CF195" s="18" t="s">
        <v>5135</v>
      </c>
      <c r="CG195" s="18" t="s">
        <v>5298</v>
      </c>
      <c r="CH195" s="18" t="s">
        <v>5241</v>
      </c>
      <c r="CI195" s="18" t="s">
        <v>5138</v>
      </c>
      <c r="CJ195" s="18" t="s">
        <v>5196</v>
      </c>
      <c r="CK195" s="18" t="s">
        <v>5171</v>
      </c>
      <c r="CL195" s="18">
        <v>3</v>
      </c>
      <c r="CM195" s="18">
        <v>0</v>
      </c>
      <c r="CN195" s="18">
        <v>0</v>
      </c>
      <c r="CO195" s="18">
        <v>1</v>
      </c>
      <c r="CP195" s="18">
        <v>1</v>
      </c>
      <c r="CQ195" s="18">
        <v>1</v>
      </c>
      <c r="CR195" s="18">
        <v>0</v>
      </c>
      <c r="CS195" s="18" t="s">
        <v>5141</v>
      </c>
      <c r="CT195" s="18">
        <v>1</v>
      </c>
      <c r="CU195" s="18">
        <v>0</v>
      </c>
      <c r="CV195" s="18">
        <v>1</v>
      </c>
      <c r="CX195" s="18">
        <v>0</v>
      </c>
      <c r="CY195" s="18">
        <v>1</v>
      </c>
      <c r="CZ195" s="18">
        <v>1</v>
      </c>
      <c r="DA195" s="18">
        <v>1</v>
      </c>
      <c r="DB195" s="18">
        <v>1</v>
      </c>
      <c r="DC195" s="18">
        <v>1</v>
      </c>
      <c r="DD195" s="18">
        <v>0</v>
      </c>
      <c r="DE195" s="18" t="s">
        <v>5141</v>
      </c>
      <c r="DF195" s="18" t="s">
        <v>5141</v>
      </c>
      <c r="DG195" s="18">
        <v>0</v>
      </c>
      <c r="DH195" s="18">
        <v>1</v>
      </c>
      <c r="DI195" s="18">
        <v>1</v>
      </c>
      <c r="DK195" s="18">
        <v>0</v>
      </c>
      <c r="DL195" s="18">
        <v>0</v>
      </c>
      <c r="DM195" s="18" t="s">
        <v>5127</v>
      </c>
      <c r="DN195" s="18" t="s">
        <v>5172</v>
      </c>
      <c r="DO195" s="18" t="s">
        <v>5143</v>
      </c>
      <c r="DP195" s="18" t="s">
        <v>113</v>
      </c>
      <c r="DQ195" s="18" t="s">
        <v>179</v>
      </c>
      <c r="DS195" s="18">
        <v>0</v>
      </c>
      <c r="DT195" s="18">
        <v>1</v>
      </c>
      <c r="DU195" s="18">
        <v>1</v>
      </c>
      <c r="DV195" s="18" t="s">
        <v>5260</v>
      </c>
      <c r="DX195" s="18" t="s">
        <v>5201</v>
      </c>
      <c r="DY195" s="18" t="s">
        <v>106</v>
      </c>
      <c r="DZ195" s="18" t="s">
        <v>113</v>
      </c>
      <c r="EA195" s="18" t="s">
        <v>5261</v>
      </c>
      <c r="EB195" s="18">
        <v>274</v>
      </c>
      <c r="EC195" s="18" t="s">
        <v>106</v>
      </c>
      <c r="ED195" s="18" t="s">
        <v>5176</v>
      </c>
      <c r="EE195" s="18" t="s">
        <v>106</v>
      </c>
      <c r="EF195" s="18" t="s">
        <v>113</v>
      </c>
      <c r="EG195" s="18" t="s">
        <v>5148</v>
      </c>
      <c r="EH195" s="18" t="s">
        <v>5203</v>
      </c>
      <c r="EI195" s="18" t="s">
        <v>5204</v>
      </c>
      <c r="EJ195" s="18" t="s">
        <v>5387</v>
      </c>
      <c r="EK195" s="18" t="s">
        <v>113</v>
      </c>
      <c r="EN195" s="18" t="s">
        <v>113</v>
      </c>
      <c r="EO195" s="18" t="s">
        <v>113</v>
      </c>
      <c r="EP195" s="18" t="s">
        <v>113</v>
      </c>
      <c r="EQ195" s="18" t="s">
        <v>113</v>
      </c>
      <c r="ER195" s="18" t="s">
        <v>5152</v>
      </c>
      <c r="ES195" s="18" t="s">
        <v>5153</v>
      </c>
      <c r="ET195" s="18" t="s">
        <v>5154</v>
      </c>
      <c r="EU195" s="18" t="s">
        <v>5318</v>
      </c>
      <c r="EV195" s="18" t="s">
        <v>5469</v>
      </c>
      <c r="EW195" s="18" t="s">
        <v>5669</v>
      </c>
      <c r="EX195" s="18" t="s">
        <v>5158</v>
      </c>
      <c r="EY195" s="18" t="s">
        <v>5292</v>
      </c>
      <c r="EZ195" s="18" t="s">
        <v>5182</v>
      </c>
      <c r="FA195" s="18" t="s">
        <v>144</v>
      </c>
      <c r="FB195" s="18" t="s">
        <v>5161</v>
      </c>
    </row>
    <row r="196" spans="1:158" ht="10.5" customHeight="1" x14ac:dyDescent="0.2">
      <c r="A196" s="16">
        <v>41</v>
      </c>
      <c r="B196" s="16" t="s">
        <v>1751</v>
      </c>
      <c r="C196" s="16" t="s">
        <v>827</v>
      </c>
      <c r="D196" s="16">
        <v>101302</v>
      </c>
      <c r="E196" s="16" t="s">
        <v>6657</v>
      </c>
      <c r="F196" s="18" t="s">
        <v>827</v>
      </c>
      <c r="G196" s="18" t="s">
        <v>106</v>
      </c>
      <c r="H196" s="15" t="s">
        <v>5127</v>
      </c>
      <c r="I196" s="18">
        <v>28</v>
      </c>
      <c r="J196" s="18">
        <v>15</v>
      </c>
      <c r="K196" s="18">
        <v>13</v>
      </c>
      <c r="L196" s="18">
        <v>0</v>
      </c>
      <c r="M196" s="18" t="s">
        <v>5183</v>
      </c>
      <c r="N196" s="18" t="s">
        <v>5901</v>
      </c>
      <c r="O196" s="18">
        <v>46537</v>
      </c>
      <c r="T196" s="18" t="s">
        <v>111</v>
      </c>
      <c r="U196" s="18" t="s">
        <v>5123</v>
      </c>
      <c r="V196" s="18" t="s">
        <v>113</v>
      </c>
      <c r="W196" s="18" t="s">
        <v>5211</v>
      </c>
      <c r="Y196" s="18" t="s">
        <v>5574</v>
      </c>
      <c r="Z196" s="18" t="s">
        <v>113</v>
      </c>
      <c r="AA196" s="18" t="s">
        <v>5267</v>
      </c>
      <c r="AC196" s="18" t="s">
        <v>111</v>
      </c>
      <c r="AD196" s="18" t="s">
        <v>111</v>
      </c>
      <c r="AE196" s="18" t="s">
        <v>111</v>
      </c>
      <c r="AF196" s="18" t="s">
        <v>111</v>
      </c>
      <c r="AG196" s="18" t="s">
        <v>5127</v>
      </c>
      <c r="AH196" s="18" t="s">
        <v>111</v>
      </c>
      <c r="AI196" s="18">
        <v>0</v>
      </c>
      <c r="AK196" s="18" t="s">
        <v>5164</v>
      </c>
      <c r="AN196" s="18">
        <v>0</v>
      </c>
      <c r="AO196" s="18" t="s">
        <v>5129</v>
      </c>
      <c r="AP196" s="18" t="s">
        <v>5902</v>
      </c>
      <c r="AQ196" s="18" t="s">
        <v>5252</v>
      </c>
      <c r="AR196" s="18" t="s">
        <v>5168</v>
      </c>
      <c r="AT196" s="17">
        <f>(365*D196*0.7)/1000</f>
        <v>25882.661</v>
      </c>
      <c r="AU196" s="17">
        <f t="shared" si="8"/>
        <v>360</v>
      </c>
      <c r="AV196" s="18">
        <v>360</v>
      </c>
      <c r="AW196" s="18">
        <v>0</v>
      </c>
      <c r="AY196" s="18" t="s">
        <v>164</v>
      </c>
      <c r="AZ196" s="18">
        <v>0</v>
      </c>
      <c r="BA196" s="18">
        <v>0</v>
      </c>
      <c r="BB196" s="18">
        <v>0</v>
      </c>
      <c r="BD196" s="18">
        <v>0</v>
      </c>
      <c r="BE196" s="18">
        <v>0</v>
      </c>
      <c r="BG196" s="18" t="s">
        <v>5169</v>
      </c>
      <c r="BQ196" s="18">
        <v>240</v>
      </c>
      <c r="BR196" s="18">
        <v>200</v>
      </c>
      <c r="BS196" s="18">
        <v>100</v>
      </c>
      <c r="BT196" s="18">
        <v>60</v>
      </c>
      <c r="BU196" s="18">
        <v>0</v>
      </c>
      <c r="BV196" s="18">
        <f t="shared" ref="BV196:BV201" si="9">SUM(BQ196:BU196)</f>
        <v>600</v>
      </c>
      <c r="BW196" s="15">
        <f t="shared" ref="BW196:BW259" si="10">SUM(BQ196:BU196)</f>
        <v>600</v>
      </c>
      <c r="BY196" s="18" t="s">
        <v>5322</v>
      </c>
      <c r="BZ196" s="18" t="s">
        <v>193</v>
      </c>
      <c r="CD196" s="18" t="s">
        <v>5127</v>
      </c>
      <c r="CE196" s="18" t="s">
        <v>111</v>
      </c>
      <c r="CF196" s="18" t="s">
        <v>5135</v>
      </c>
      <c r="CG196" s="18" t="s">
        <v>5903</v>
      </c>
      <c r="CH196" s="18" t="s">
        <v>5194</v>
      </c>
      <c r="CI196" s="18" t="s">
        <v>5138</v>
      </c>
      <c r="CJ196" s="18" t="s">
        <v>5139</v>
      </c>
      <c r="CK196" s="18" t="s">
        <v>5256</v>
      </c>
      <c r="CL196" s="18">
        <v>2</v>
      </c>
      <c r="CM196" s="18">
        <v>0</v>
      </c>
      <c r="CN196" s="18">
        <v>0</v>
      </c>
      <c r="CO196" s="18">
        <v>1</v>
      </c>
      <c r="CP196" s="18">
        <v>2</v>
      </c>
      <c r="CQ196" s="18">
        <v>1</v>
      </c>
      <c r="CR196" s="18">
        <v>0</v>
      </c>
      <c r="CS196" s="18" t="s">
        <v>5141</v>
      </c>
      <c r="CT196" s="18">
        <v>0</v>
      </c>
      <c r="CU196" s="18">
        <v>0</v>
      </c>
      <c r="CV196" s="18">
        <v>0</v>
      </c>
      <c r="CX196" s="18">
        <v>1</v>
      </c>
      <c r="CY196" s="18">
        <v>2</v>
      </c>
      <c r="CZ196" s="18">
        <v>2</v>
      </c>
      <c r="DA196" s="18">
        <v>1</v>
      </c>
      <c r="DB196" s="18">
        <v>2</v>
      </c>
      <c r="DC196" s="18">
        <v>2</v>
      </c>
      <c r="DD196" s="18">
        <v>2</v>
      </c>
      <c r="DE196" s="18">
        <v>1</v>
      </c>
      <c r="DF196" s="18" t="s">
        <v>5141</v>
      </c>
      <c r="DG196" s="18">
        <v>1</v>
      </c>
      <c r="DH196" s="18">
        <v>1</v>
      </c>
      <c r="DI196" s="18" t="s">
        <v>5141</v>
      </c>
      <c r="DK196" s="18">
        <v>0</v>
      </c>
      <c r="DL196" s="18">
        <v>1</v>
      </c>
      <c r="DM196" s="18" t="s">
        <v>5127</v>
      </c>
      <c r="DN196" s="18" t="s">
        <v>5258</v>
      </c>
      <c r="DO196" s="18" t="s">
        <v>5259</v>
      </c>
      <c r="DP196" s="18" t="s">
        <v>113</v>
      </c>
      <c r="DQ196" s="18" t="s">
        <v>5168</v>
      </c>
      <c r="DS196" s="18">
        <v>0</v>
      </c>
      <c r="DT196" s="18">
        <v>0</v>
      </c>
      <c r="DU196" s="18">
        <v>1</v>
      </c>
      <c r="DV196" s="18" t="s">
        <v>5144</v>
      </c>
      <c r="DX196" s="18" t="s">
        <v>5201</v>
      </c>
      <c r="DY196" s="18" t="s">
        <v>106</v>
      </c>
      <c r="DZ196" s="18" t="s">
        <v>113</v>
      </c>
      <c r="EA196" s="18" t="s">
        <v>5146</v>
      </c>
      <c r="EB196" s="18">
        <v>600</v>
      </c>
      <c r="EC196" s="18" t="s">
        <v>106</v>
      </c>
      <c r="ED196" s="18" t="s">
        <v>5147</v>
      </c>
      <c r="EE196" s="18" t="s">
        <v>113</v>
      </c>
      <c r="EF196" s="18" t="s">
        <v>113</v>
      </c>
      <c r="EG196" s="18" t="s">
        <v>5404</v>
      </c>
      <c r="EH196" s="18" t="s">
        <v>5203</v>
      </c>
      <c r="EI196" s="18" t="s">
        <v>5204</v>
      </c>
      <c r="EJ196" s="18" t="s">
        <v>5904</v>
      </c>
      <c r="EK196" s="18" t="s">
        <v>113</v>
      </c>
      <c r="EL196" s="18" t="s">
        <v>4243</v>
      </c>
      <c r="EN196" s="18" t="s">
        <v>113</v>
      </c>
      <c r="EO196" s="18" t="s">
        <v>113</v>
      </c>
      <c r="EP196" s="18" t="s">
        <v>106</v>
      </c>
      <c r="EQ196" s="18" t="s">
        <v>113</v>
      </c>
      <c r="ER196" s="18" t="s">
        <v>5152</v>
      </c>
      <c r="ES196" s="18" t="s">
        <v>5153</v>
      </c>
      <c r="ET196" s="18" t="s">
        <v>5154</v>
      </c>
      <c r="EU196" s="18" t="s">
        <v>5289</v>
      </c>
      <c r="EW196" s="18" t="s">
        <v>5905</v>
      </c>
      <c r="EX196" s="18" t="s">
        <v>5158</v>
      </c>
      <c r="EY196" s="18" t="s">
        <v>5806</v>
      </c>
      <c r="EZ196" s="18" t="s">
        <v>5160</v>
      </c>
      <c r="FA196" s="18" t="s">
        <v>144</v>
      </c>
      <c r="FB196" s="18" t="s">
        <v>5161</v>
      </c>
    </row>
    <row r="197" spans="1:158" ht="10.5" customHeight="1" x14ac:dyDescent="0.2">
      <c r="A197" s="16">
        <v>41</v>
      </c>
      <c r="B197" s="16" t="s">
        <v>1751</v>
      </c>
      <c r="C197" s="16" t="s">
        <v>827</v>
      </c>
      <c r="D197" s="16">
        <v>101302</v>
      </c>
      <c r="E197" s="16" t="s">
        <v>6657</v>
      </c>
      <c r="F197" s="18" t="s">
        <v>827</v>
      </c>
      <c r="G197" s="18" t="s">
        <v>106</v>
      </c>
      <c r="H197" s="15" t="s">
        <v>5127</v>
      </c>
      <c r="I197" s="18">
        <v>25</v>
      </c>
      <c r="J197" s="18">
        <v>18</v>
      </c>
      <c r="K197" s="18">
        <v>7</v>
      </c>
      <c r="L197" s="18">
        <v>0</v>
      </c>
      <c r="M197" s="18" t="s">
        <v>5183</v>
      </c>
      <c r="N197" s="18" t="s">
        <v>114</v>
      </c>
      <c r="T197" s="18" t="s">
        <v>111</v>
      </c>
      <c r="U197" s="18" t="s">
        <v>5123</v>
      </c>
      <c r="V197" s="18" t="s">
        <v>113</v>
      </c>
      <c r="W197" s="18" t="s">
        <v>5211</v>
      </c>
      <c r="Y197" s="18" t="s">
        <v>5293</v>
      </c>
      <c r="Z197" s="18" t="s">
        <v>106</v>
      </c>
      <c r="AA197" s="18" t="s">
        <v>5267</v>
      </c>
      <c r="AC197" s="18" t="s">
        <v>5127</v>
      </c>
      <c r="AD197" s="18" t="s">
        <v>5127</v>
      </c>
      <c r="AE197" s="18" t="s">
        <v>111</v>
      </c>
      <c r="AF197" s="18" t="s">
        <v>111</v>
      </c>
      <c r="AG197" s="18" t="s">
        <v>5127</v>
      </c>
      <c r="AH197" s="18" t="s">
        <v>111</v>
      </c>
      <c r="AI197" s="18">
        <v>0</v>
      </c>
      <c r="AK197" s="18" t="s">
        <v>5509</v>
      </c>
      <c r="AN197" s="18">
        <v>0</v>
      </c>
      <c r="AO197" s="18" t="s">
        <v>5129</v>
      </c>
      <c r="AP197" s="18" t="s">
        <v>5906</v>
      </c>
      <c r="AQ197" s="18" t="s">
        <v>164</v>
      </c>
      <c r="AR197" s="18" t="s">
        <v>5168</v>
      </c>
      <c r="AT197" s="17">
        <f>(365*D197*0.7)/1000</f>
        <v>25882.661</v>
      </c>
      <c r="AU197" s="17">
        <f t="shared" si="8"/>
        <v>260</v>
      </c>
      <c r="AV197" s="18">
        <v>260</v>
      </c>
      <c r="AW197" s="18">
        <v>0</v>
      </c>
      <c r="AY197" s="18" t="s">
        <v>164</v>
      </c>
      <c r="AZ197" s="18">
        <v>0</v>
      </c>
      <c r="BG197" s="18" t="s">
        <v>5169</v>
      </c>
      <c r="BQ197" s="18">
        <v>240</v>
      </c>
      <c r="BR197" s="18">
        <v>320</v>
      </c>
      <c r="BS197" s="18">
        <v>125</v>
      </c>
      <c r="BT197" s="18">
        <v>115</v>
      </c>
      <c r="BU197" s="18">
        <v>0</v>
      </c>
      <c r="BV197" s="18">
        <f t="shared" si="9"/>
        <v>800</v>
      </c>
      <c r="BW197" s="15">
        <f t="shared" si="10"/>
        <v>800</v>
      </c>
      <c r="BY197" s="18" t="s">
        <v>5322</v>
      </c>
      <c r="BZ197" s="18" t="s">
        <v>193</v>
      </c>
      <c r="CD197" s="18" t="s">
        <v>5127</v>
      </c>
      <c r="CE197" s="18" t="s">
        <v>111</v>
      </c>
      <c r="CF197" s="18" t="s">
        <v>5135</v>
      </c>
      <c r="CG197" s="18" t="s">
        <v>5907</v>
      </c>
      <c r="CH197" s="18" t="s">
        <v>111</v>
      </c>
      <c r="CI197" s="18" t="s">
        <v>5138</v>
      </c>
      <c r="CJ197" s="18" t="s">
        <v>5139</v>
      </c>
      <c r="CK197" s="18" t="s">
        <v>5256</v>
      </c>
      <c r="CL197" s="18">
        <v>3</v>
      </c>
      <c r="CM197" s="18">
        <v>0</v>
      </c>
      <c r="CN197" s="18">
        <v>0</v>
      </c>
      <c r="CO197" s="18">
        <v>1</v>
      </c>
      <c r="CP197" s="18">
        <v>2</v>
      </c>
      <c r="CQ197" s="18">
        <v>0</v>
      </c>
      <c r="CR197" s="18">
        <v>0</v>
      </c>
      <c r="CS197" s="18" t="s">
        <v>5141</v>
      </c>
      <c r="CT197" s="18">
        <v>0</v>
      </c>
      <c r="CU197" s="18">
        <v>0</v>
      </c>
      <c r="CV197" s="18">
        <v>0</v>
      </c>
      <c r="CX197" s="18">
        <v>1</v>
      </c>
      <c r="CY197" s="18">
        <v>2</v>
      </c>
      <c r="CZ197" s="18">
        <v>2</v>
      </c>
      <c r="DA197" s="18">
        <v>1</v>
      </c>
      <c r="DB197" s="18">
        <v>2</v>
      </c>
      <c r="DC197" s="18">
        <v>3</v>
      </c>
      <c r="DD197" s="18">
        <v>2</v>
      </c>
      <c r="DE197" s="18">
        <v>1</v>
      </c>
      <c r="DF197" s="18" t="s">
        <v>5141</v>
      </c>
      <c r="DG197" s="18">
        <v>1</v>
      </c>
      <c r="DH197" s="18">
        <v>1</v>
      </c>
      <c r="DI197" s="18" t="s">
        <v>5141</v>
      </c>
      <c r="DK197" s="18">
        <v>0</v>
      </c>
      <c r="DL197" s="18">
        <v>1</v>
      </c>
      <c r="DM197" s="18" t="s">
        <v>5127</v>
      </c>
      <c r="DN197" s="18" t="s">
        <v>5314</v>
      </c>
      <c r="DO197" s="18" t="s">
        <v>5259</v>
      </c>
      <c r="DP197" s="18" t="s">
        <v>113</v>
      </c>
      <c r="DQ197" s="18" t="s">
        <v>179</v>
      </c>
      <c r="DS197" s="18">
        <v>0</v>
      </c>
      <c r="DT197" s="18">
        <v>1</v>
      </c>
      <c r="DU197" s="18">
        <v>1</v>
      </c>
      <c r="DV197" s="18" t="s">
        <v>5144</v>
      </c>
      <c r="DX197" s="18" t="s">
        <v>5201</v>
      </c>
      <c r="DY197" s="18" t="s">
        <v>106</v>
      </c>
      <c r="DZ197" s="18" t="s">
        <v>113</v>
      </c>
      <c r="EA197" s="18" t="s">
        <v>5146</v>
      </c>
      <c r="EB197" s="18">
        <v>750</v>
      </c>
      <c r="EC197" s="18" t="s">
        <v>106</v>
      </c>
      <c r="ED197" s="18" t="s">
        <v>5147</v>
      </c>
      <c r="EE197" s="18" t="s">
        <v>106</v>
      </c>
      <c r="EF197" s="18" t="s">
        <v>113</v>
      </c>
      <c r="EG197" s="18" t="s">
        <v>5404</v>
      </c>
      <c r="EH197" s="18" t="s">
        <v>5203</v>
      </c>
      <c r="EI197" s="18" t="s">
        <v>5204</v>
      </c>
      <c r="EJ197" s="18" t="s">
        <v>5422</v>
      </c>
      <c r="EK197" s="18" t="s">
        <v>113</v>
      </c>
      <c r="EL197" s="18" t="s">
        <v>4243</v>
      </c>
      <c r="EM197" s="18" t="s">
        <v>5908</v>
      </c>
      <c r="EN197" s="18" t="s">
        <v>113</v>
      </c>
      <c r="EO197" s="18" t="s">
        <v>106</v>
      </c>
      <c r="EP197" s="18" t="s">
        <v>106</v>
      </c>
      <c r="EQ197" s="18" t="s">
        <v>106</v>
      </c>
      <c r="ER197" s="18" t="s">
        <v>5152</v>
      </c>
      <c r="ES197" s="18" t="s">
        <v>5153</v>
      </c>
      <c r="ET197" s="18" t="s">
        <v>5154</v>
      </c>
      <c r="EU197" s="18" t="s">
        <v>5155</v>
      </c>
      <c r="EW197" s="18" t="s">
        <v>5593</v>
      </c>
      <c r="EX197" s="18" t="s">
        <v>5158</v>
      </c>
      <c r="EY197" s="18" t="s">
        <v>5292</v>
      </c>
      <c r="EZ197" s="18" t="s">
        <v>5160</v>
      </c>
      <c r="FA197" s="18" t="s">
        <v>144</v>
      </c>
      <c r="FB197" s="18" t="s">
        <v>5161</v>
      </c>
    </row>
    <row r="198" spans="1:158" ht="10.5" customHeight="1" x14ac:dyDescent="0.2">
      <c r="A198" s="16">
        <v>41</v>
      </c>
      <c r="B198" s="16" t="s">
        <v>1751</v>
      </c>
      <c r="C198" s="16" t="s">
        <v>827</v>
      </c>
      <c r="D198" s="16">
        <v>101302</v>
      </c>
      <c r="E198" s="16" t="s">
        <v>6657</v>
      </c>
      <c r="F198" s="18" t="s">
        <v>827</v>
      </c>
      <c r="G198" s="18" t="s">
        <v>106</v>
      </c>
      <c r="H198" s="15" t="s">
        <v>5127</v>
      </c>
      <c r="I198" s="18">
        <v>25</v>
      </c>
      <c r="J198" s="18">
        <v>17</v>
      </c>
      <c r="K198" s="18">
        <v>8</v>
      </c>
      <c r="L198" s="18">
        <v>0</v>
      </c>
      <c r="M198" s="18" t="s">
        <v>5183</v>
      </c>
      <c r="N198" s="18" t="s">
        <v>114</v>
      </c>
      <c r="T198" s="18" t="s">
        <v>111</v>
      </c>
      <c r="U198" s="18" t="s">
        <v>5250</v>
      </c>
      <c r="V198" s="18" t="s">
        <v>113</v>
      </c>
      <c r="W198" s="18" t="s">
        <v>5211</v>
      </c>
      <c r="Y198" s="18" t="s">
        <v>5909</v>
      </c>
      <c r="Z198" s="18" t="s">
        <v>113</v>
      </c>
      <c r="AA198" s="18" t="s">
        <v>5163</v>
      </c>
      <c r="AB198" s="18" t="s">
        <v>179</v>
      </c>
      <c r="AC198" s="18" t="s">
        <v>111</v>
      </c>
      <c r="AD198" s="18" t="s">
        <v>111</v>
      </c>
      <c r="AE198" s="18" t="s">
        <v>111</v>
      </c>
      <c r="AF198" s="18" t="s">
        <v>111</v>
      </c>
      <c r="AG198" s="18" t="s">
        <v>5127</v>
      </c>
      <c r="AH198" s="18" t="s">
        <v>111</v>
      </c>
      <c r="AI198" s="18">
        <v>0</v>
      </c>
      <c r="AK198" s="18" t="s">
        <v>5164</v>
      </c>
      <c r="AN198" s="18">
        <v>0</v>
      </c>
      <c r="AO198" s="18" t="s">
        <v>5129</v>
      </c>
      <c r="AP198" s="18" t="s">
        <v>5910</v>
      </c>
      <c r="AQ198" s="18" t="s">
        <v>5252</v>
      </c>
      <c r="AR198" s="18" t="s">
        <v>5168</v>
      </c>
      <c r="AT198" s="17">
        <f>(365*D198*0.7)/1000</f>
        <v>25882.661</v>
      </c>
      <c r="AU198" s="17">
        <f t="shared" si="8"/>
        <v>180</v>
      </c>
      <c r="AV198" s="18">
        <v>180</v>
      </c>
      <c r="AW198" s="18">
        <v>0</v>
      </c>
      <c r="AY198" s="18" t="s">
        <v>164</v>
      </c>
      <c r="BG198" s="18" t="s">
        <v>5400</v>
      </c>
      <c r="BQ198" s="18">
        <v>0</v>
      </c>
      <c r="BR198" s="18">
        <v>0</v>
      </c>
      <c r="BS198" s="18">
        <v>0</v>
      </c>
      <c r="BT198" s="18">
        <v>0</v>
      </c>
      <c r="BU198" s="18">
        <v>0</v>
      </c>
      <c r="BV198" s="18">
        <f t="shared" si="9"/>
        <v>0</v>
      </c>
      <c r="BW198" s="15">
        <f t="shared" si="10"/>
        <v>0</v>
      </c>
      <c r="BY198" s="18" t="s">
        <v>5134</v>
      </c>
      <c r="BZ198" s="18" t="s">
        <v>193</v>
      </c>
      <c r="CD198" s="18" t="s">
        <v>5127</v>
      </c>
      <c r="CE198" s="18" t="s">
        <v>111</v>
      </c>
      <c r="CF198" s="18" t="s">
        <v>5135</v>
      </c>
      <c r="CG198" s="18" t="s">
        <v>5911</v>
      </c>
      <c r="CH198" s="18" t="s">
        <v>111</v>
      </c>
      <c r="CI198" s="18" t="s">
        <v>5195</v>
      </c>
      <c r="CJ198" s="18" t="s">
        <v>5139</v>
      </c>
      <c r="CK198" s="18" t="s">
        <v>5256</v>
      </c>
      <c r="CL198" s="18">
        <v>1</v>
      </c>
      <c r="CM198" s="18">
        <v>0</v>
      </c>
      <c r="CN198" s="18">
        <v>0</v>
      </c>
      <c r="CO198" s="18">
        <v>0</v>
      </c>
      <c r="CP198" s="18">
        <v>1</v>
      </c>
      <c r="CQ198" s="18">
        <v>0</v>
      </c>
      <c r="CR198" s="18">
        <v>0</v>
      </c>
      <c r="CS198" s="18" t="s">
        <v>5141</v>
      </c>
      <c r="CT198" s="18">
        <v>0</v>
      </c>
      <c r="CU198" s="18">
        <v>0</v>
      </c>
      <c r="CV198" s="18">
        <v>0</v>
      </c>
      <c r="CX198" s="18">
        <v>1</v>
      </c>
      <c r="CY198" s="18">
        <v>1</v>
      </c>
      <c r="CZ198" s="18">
        <v>1</v>
      </c>
      <c r="DA198" s="18">
        <v>1</v>
      </c>
      <c r="DB198" s="18">
        <v>2</v>
      </c>
      <c r="DC198" s="18">
        <v>2</v>
      </c>
      <c r="DD198" s="18">
        <v>1</v>
      </c>
      <c r="DE198" s="18">
        <v>0</v>
      </c>
      <c r="DF198" s="18" t="s">
        <v>5141</v>
      </c>
      <c r="DG198" s="18">
        <v>1</v>
      </c>
      <c r="DH198" s="18">
        <v>1</v>
      </c>
      <c r="DI198" s="18" t="s">
        <v>5141</v>
      </c>
      <c r="DK198" s="18">
        <v>0</v>
      </c>
      <c r="DL198" s="18">
        <v>1</v>
      </c>
      <c r="DM198" s="18" t="s">
        <v>5127</v>
      </c>
      <c r="DN198" s="18" t="s">
        <v>5299</v>
      </c>
      <c r="DO198" s="18" t="s">
        <v>5259</v>
      </c>
      <c r="DP198" s="18" t="s">
        <v>113</v>
      </c>
      <c r="DS198" s="18">
        <v>0</v>
      </c>
      <c r="DT198" s="18">
        <v>0</v>
      </c>
      <c r="DU198" s="18">
        <v>1</v>
      </c>
      <c r="DV198" s="18" t="s">
        <v>5342</v>
      </c>
      <c r="DX198" s="18" t="s">
        <v>5201</v>
      </c>
      <c r="DY198" s="18" t="s">
        <v>106</v>
      </c>
      <c r="DZ198" s="18" t="s">
        <v>113</v>
      </c>
      <c r="EA198" s="18" t="s">
        <v>5146</v>
      </c>
      <c r="EB198" s="18">
        <v>144</v>
      </c>
      <c r="EC198" s="18" t="s">
        <v>113</v>
      </c>
      <c r="ED198" s="18" t="s">
        <v>5147</v>
      </c>
      <c r="EE198" s="18" t="s">
        <v>113</v>
      </c>
      <c r="EF198" s="18" t="s">
        <v>113</v>
      </c>
      <c r="EG198" s="18" t="s">
        <v>5404</v>
      </c>
      <c r="EH198" s="18" t="s">
        <v>5203</v>
      </c>
      <c r="EI198" s="18" t="s">
        <v>5150</v>
      </c>
      <c r="EJ198" s="18" t="s">
        <v>5912</v>
      </c>
      <c r="EN198" s="18" t="s">
        <v>113</v>
      </c>
      <c r="EO198" s="18" t="s">
        <v>113</v>
      </c>
      <c r="EP198" s="18" t="s">
        <v>113</v>
      </c>
      <c r="EQ198" s="18" t="s">
        <v>113</v>
      </c>
      <c r="ER198" s="18" t="s">
        <v>5152</v>
      </c>
      <c r="ES198" s="18" t="s">
        <v>5153</v>
      </c>
      <c r="ET198" s="18" t="s">
        <v>5154</v>
      </c>
      <c r="EU198" s="18" t="s">
        <v>5318</v>
      </c>
      <c r="EV198" s="18" t="s">
        <v>179</v>
      </c>
      <c r="EW198" s="18" t="s">
        <v>5702</v>
      </c>
      <c r="EX198" s="18" t="s">
        <v>5307</v>
      </c>
      <c r="EY198" s="18" t="s">
        <v>164</v>
      </c>
      <c r="EZ198" s="18" t="s">
        <v>5160</v>
      </c>
      <c r="FA198" s="18" t="s">
        <v>144</v>
      </c>
      <c r="FB198" s="18" t="s">
        <v>5161</v>
      </c>
    </row>
    <row r="199" spans="1:158" ht="10.5" customHeight="1" x14ac:dyDescent="0.2">
      <c r="A199" s="16">
        <v>41</v>
      </c>
      <c r="B199" s="16" t="s">
        <v>1758</v>
      </c>
      <c r="C199" s="16" t="s">
        <v>1757</v>
      </c>
      <c r="D199" s="16">
        <v>10861</v>
      </c>
      <c r="E199" s="16" t="s">
        <v>6656</v>
      </c>
      <c r="F199" s="18" t="s">
        <v>1757</v>
      </c>
      <c r="G199" s="18" t="s">
        <v>106</v>
      </c>
      <c r="H199" s="15" t="s">
        <v>5127</v>
      </c>
      <c r="I199" s="18">
        <v>5</v>
      </c>
      <c r="J199" s="18">
        <v>3</v>
      </c>
      <c r="K199" s="18">
        <v>2</v>
      </c>
      <c r="L199" s="18">
        <v>0</v>
      </c>
      <c r="M199" s="18" t="s">
        <v>5121</v>
      </c>
      <c r="N199" s="18" t="s">
        <v>5913</v>
      </c>
      <c r="O199" s="18">
        <v>46016</v>
      </c>
      <c r="T199" s="18" t="s">
        <v>111</v>
      </c>
      <c r="U199" s="18" t="s">
        <v>5250</v>
      </c>
      <c r="V199" s="18" t="s">
        <v>113</v>
      </c>
      <c r="W199" s="18" t="s">
        <v>5211</v>
      </c>
      <c r="Y199" s="18" t="s">
        <v>5232</v>
      </c>
      <c r="Z199" s="18" t="s">
        <v>106</v>
      </c>
      <c r="AA199" s="18" t="s">
        <v>5163</v>
      </c>
      <c r="AB199" s="18" t="s">
        <v>179</v>
      </c>
      <c r="AC199" s="18" t="s">
        <v>5127</v>
      </c>
      <c r="AD199" s="18" t="s">
        <v>5127</v>
      </c>
      <c r="AE199" s="18" t="s">
        <v>5127</v>
      </c>
      <c r="AF199" s="18" t="s">
        <v>111</v>
      </c>
      <c r="AG199" s="18" t="s">
        <v>5127</v>
      </c>
      <c r="AH199" s="18" t="s">
        <v>111</v>
      </c>
      <c r="AI199" s="18">
        <v>1</v>
      </c>
      <c r="AK199" s="18" t="s">
        <v>5164</v>
      </c>
      <c r="AN199" s="18">
        <v>14754</v>
      </c>
      <c r="AO199" s="18" t="s">
        <v>5129</v>
      </c>
      <c r="AP199" s="18" t="s">
        <v>5914</v>
      </c>
      <c r="AQ199" s="18" t="s">
        <v>5252</v>
      </c>
      <c r="AR199" s="18" t="s">
        <v>5132</v>
      </c>
      <c r="AT199" s="17">
        <f>(365*D199*0.7)/1000</f>
        <v>2774.9854999999998</v>
      </c>
      <c r="AU199" s="17">
        <f t="shared" si="8"/>
        <v>43.24</v>
      </c>
      <c r="AV199" s="18">
        <f>21620/1000</f>
        <v>21.62</v>
      </c>
      <c r="AW199" s="18">
        <f>21620/1000</f>
        <v>21.62</v>
      </c>
      <c r="AY199" s="18" t="s">
        <v>5915</v>
      </c>
      <c r="BG199" s="18" t="s">
        <v>5916</v>
      </c>
      <c r="BQ199" s="18">
        <f>5780/1000</f>
        <v>5.78</v>
      </c>
      <c r="BR199" s="18">
        <f>5969/1000</f>
        <v>5.9690000000000003</v>
      </c>
      <c r="BS199" s="18">
        <f>1865/1000</f>
        <v>1.865</v>
      </c>
      <c r="BT199" s="18">
        <v>0</v>
      </c>
      <c r="BU199" s="18">
        <v>120</v>
      </c>
      <c r="BV199" s="18">
        <f t="shared" si="9"/>
        <v>133.614</v>
      </c>
      <c r="BW199" s="15">
        <f t="shared" si="10"/>
        <v>133.614</v>
      </c>
      <c r="BY199" s="18" t="s">
        <v>5134</v>
      </c>
      <c r="BZ199" s="18" t="s">
        <v>193</v>
      </c>
      <c r="CD199" s="18" t="s">
        <v>5127</v>
      </c>
      <c r="CE199" s="18" t="s">
        <v>111</v>
      </c>
      <c r="CF199" s="18" t="s">
        <v>5529</v>
      </c>
      <c r="CG199" s="18" t="s">
        <v>5917</v>
      </c>
      <c r="CH199" s="18" t="s">
        <v>5284</v>
      </c>
      <c r="CI199" s="18" t="s">
        <v>5138</v>
      </c>
      <c r="CJ199" s="18" t="s">
        <v>5139</v>
      </c>
      <c r="CK199" s="18" t="s">
        <v>179</v>
      </c>
      <c r="CL199" s="18">
        <v>1</v>
      </c>
      <c r="CM199" s="18">
        <v>1</v>
      </c>
      <c r="CN199" s="18">
        <v>1</v>
      </c>
      <c r="CO199" s="18">
        <v>1</v>
      </c>
      <c r="CP199" s="18">
        <v>1</v>
      </c>
      <c r="CQ199" s="18">
        <v>1</v>
      </c>
      <c r="CR199" s="18">
        <v>1</v>
      </c>
      <c r="CS199" s="18">
        <v>1</v>
      </c>
      <c r="CT199" s="18">
        <v>1</v>
      </c>
      <c r="CU199" s="18">
        <v>1</v>
      </c>
      <c r="CV199" s="18">
        <v>1</v>
      </c>
      <c r="CX199" s="18">
        <v>1</v>
      </c>
      <c r="CY199" s="18">
        <v>1</v>
      </c>
      <c r="CZ199" s="18">
        <v>1</v>
      </c>
      <c r="DA199" s="18">
        <v>1</v>
      </c>
      <c r="DB199" s="18">
        <v>0</v>
      </c>
      <c r="DC199" s="18">
        <v>1</v>
      </c>
      <c r="DD199" s="18">
        <v>1</v>
      </c>
      <c r="DE199" s="18">
        <v>1</v>
      </c>
      <c r="DF199" s="18">
        <v>1</v>
      </c>
      <c r="DG199" s="18">
        <v>1</v>
      </c>
      <c r="DH199" s="18">
        <v>1</v>
      </c>
      <c r="DI199" s="18">
        <v>1</v>
      </c>
      <c r="DK199" s="18">
        <v>1</v>
      </c>
      <c r="DL199" s="18">
        <v>1</v>
      </c>
      <c r="DM199" s="18" t="s">
        <v>5127</v>
      </c>
      <c r="DN199" s="18" t="s">
        <v>5172</v>
      </c>
      <c r="DO199" s="18" t="s">
        <v>5259</v>
      </c>
      <c r="DP199" s="18" t="s">
        <v>106</v>
      </c>
      <c r="DQ199" s="18" t="s">
        <v>179</v>
      </c>
      <c r="DS199" s="18">
        <v>0</v>
      </c>
      <c r="DT199" s="18">
        <v>1</v>
      </c>
      <c r="DU199" s="18">
        <v>1</v>
      </c>
      <c r="DV199" s="18" t="s">
        <v>5144</v>
      </c>
      <c r="DX199" s="18" t="s">
        <v>5201</v>
      </c>
      <c r="DY199" s="18" t="s">
        <v>106</v>
      </c>
      <c r="DZ199" s="18" t="s">
        <v>113</v>
      </c>
      <c r="EA199" s="18" t="s">
        <v>5146</v>
      </c>
      <c r="EB199" s="18">
        <v>5780</v>
      </c>
      <c r="EC199" s="18" t="s">
        <v>113</v>
      </c>
      <c r="ED199" s="18" t="s">
        <v>5147</v>
      </c>
      <c r="EE199" s="18" t="s">
        <v>113</v>
      </c>
      <c r="EF199" s="18" t="s">
        <v>113</v>
      </c>
      <c r="EG199" s="18" t="s">
        <v>5148</v>
      </c>
      <c r="EH199" s="18" t="s">
        <v>5203</v>
      </c>
      <c r="EI199" s="18" t="s">
        <v>5204</v>
      </c>
      <c r="EJ199" s="18" t="s">
        <v>5422</v>
      </c>
      <c r="EK199" s="18" t="s">
        <v>113</v>
      </c>
      <c r="EM199" s="18" t="s">
        <v>3363</v>
      </c>
      <c r="EN199" s="18" t="s">
        <v>113</v>
      </c>
      <c r="EO199" s="18" t="s">
        <v>113</v>
      </c>
      <c r="EP199" s="18" t="s">
        <v>113</v>
      </c>
      <c r="EQ199" s="18" t="s">
        <v>113</v>
      </c>
      <c r="ER199" s="18" t="s">
        <v>5206</v>
      </c>
      <c r="ES199" s="18" t="s">
        <v>5153</v>
      </c>
      <c r="ET199" s="18" t="s">
        <v>5154</v>
      </c>
      <c r="EU199" s="18" t="s">
        <v>5155</v>
      </c>
      <c r="EV199" s="18" t="s">
        <v>179</v>
      </c>
      <c r="EW199" s="18" t="s">
        <v>179</v>
      </c>
      <c r="EX199" s="18" t="s">
        <v>5158</v>
      </c>
      <c r="EY199" s="18" t="s">
        <v>5229</v>
      </c>
      <c r="EZ199" s="18" t="s">
        <v>5308</v>
      </c>
      <c r="FA199" s="18" t="s">
        <v>144</v>
      </c>
      <c r="FB199" s="18" t="s">
        <v>5161</v>
      </c>
    </row>
    <row r="200" spans="1:158" ht="10.5" customHeight="1" x14ac:dyDescent="0.2">
      <c r="A200" s="16">
        <v>41</v>
      </c>
      <c r="B200" s="16" t="s">
        <v>1774</v>
      </c>
      <c r="C200" s="16" t="s">
        <v>1773</v>
      </c>
      <c r="D200" s="16">
        <v>2970</v>
      </c>
      <c r="E200" s="16" t="s">
        <v>6656</v>
      </c>
      <c r="F200" s="18" t="s">
        <v>1773</v>
      </c>
      <c r="G200" s="18" t="s">
        <v>106</v>
      </c>
      <c r="H200" s="15" t="s">
        <v>5127</v>
      </c>
      <c r="I200" s="18">
        <v>4</v>
      </c>
      <c r="J200" s="18">
        <v>1</v>
      </c>
      <c r="K200" s="18">
        <v>3</v>
      </c>
      <c r="M200" s="18" t="s">
        <v>5183</v>
      </c>
      <c r="N200" s="18" t="s">
        <v>5918</v>
      </c>
      <c r="O200" s="18">
        <v>47761</v>
      </c>
      <c r="T200" s="18" t="s">
        <v>111</v>
      </c>
      <c r="U200" s="18" t="s">
        <v>5250</v>
      </c>
      <c r="V200" s="18" t="s">
        <v>113</v>
      </c>
      <c r="W200" s="18" t="s">
        <v>5124</v>
      </c>
      <c r="Y200" s="18" t="s">
        <v>5232</v>
      </c>
      <c r="Z200" s="18" t="s">
        <v>106</v>
      </c>
      <c r="AA200" s="18" t="s">
        <v>5163</v>
      </c>
      <c r="AB200" s="18" t="s">
        <v>5213</v>
      </c>
      <c r="AC200" s="18" t="s">
        <v>5127</v>
      </c>
      <c r="AD200" s="18" t="s">
        <v>5127</v>
      </c>
      <c r="AE200" s="18" t="s">
        <v>5127</v>
      </c>
      <c r="AF200" s="18" t="s">
        <v>5127</v>
      </c>
      <c r="AG200" s="18" t="s">
        <v>5127</v>
      </c>
      <c r="AH200" s="18" t="s">
        <v>5127</v>
      </c>
      <c r="AI200" s="18">
        <v>1</v>
      </c>
      <c r="AK200" s="18" t="s">
        <v>5164</v>
      </c>
      <c r="AN200" s="18">
        <v>0</v>
      </c>
      <c r="AO200" s="18" t="s">
        <v>5863</v>
      </c>
      <c r="AP200" s="18" t="s">
        <v>5919</v>
      </c>
      <c r="AQ200" s="18" t="s">
        <v>5711</v>
      </c>
      <c r="AR200" s="18" t="s">
        <v>5168</v>
      </c>
      <c r="AT200" s="17">
        <f>(365*D200*0.7)/1000</f>
        <v>758.83500000000004</v>
      </c>
      <c r="AU200" s="17">
        <f t="shared" si="8"/>
        <v>0</v>
      </c>
      <c r="AV200" s="18">
        <v>0</v>
      </c>
      <c r="AW200" s="18">
        <v>0</v>
      </c>
      <c r="AY200" s="18" t="s">
        <v>5915</v>
      </c>
      <c r="BG200" s="18" t="s">
        <v>164</v>
      </c>
      <c r="BH200" s="18">
        <v>0</v>
      </c>
      <c r="BQ200" s="18">
        <v>30</v>
      </c>
      <c r="BR200" s="18">
        <v>25</v>
      </c>
      <c r="BS200" s="18">
        <v>15</v>
      </c>
      <c r="BT200" s="18">
        <v>8</v>
      </c>
      <c r="BU200" s="18">
        <v>42</v>
      </c>
      <c r="BV200" s="18">
        <f t="shared" si="9"/>
        <v>120</v>
      </c>
      <c r="BW200" s="15">
        <f t="shared" si="10"/>
        <v>120</v>
      </c>
      <c r="BY200" s="18" t="s">
        <v>5134</v>
      </c>
      <c r="BZ200" s="18" t="s">
        <v>193</v>
      </c>
      <c r="CD200" s="18" t="s">
        <v>5127</v>
      </c>
      <c r="CE200" s="18" t="s">
        <v>111</v>
      </c>
      <c r="CF200" s="18" t="s">
        <v>5135</v>
      </c>
      <c r="CG200" s="18" t="s">
        <v>5920</v>
      </c>
      <c r="CH200" s="18" t="s">
        <v>5241</v>
      </c>
      <c r="CI200" s="18" t="s">
        <v>111</v>
      </c>
      <c r="CJ200" s="18" t="s">
        <v>5139</v>
      </c>
      <c r="CK200" s="18" t="s">
        <v>179</v>
      </c>
      <c r="CL200" s="18">
        <v>1</v>
      </c>
      <c r="CM200" s="18">
        <v>0</v>
      </c>
      <c r="CN200" s="18">
        <v>1</v>
      </c>
      <c r="CO200" s="18">
        <v>1</v>
      </c>
      <c r="CP200" s="18">
        <v>1</v>
      </c>
      <c r="CQ200" s="18">
        <v>0</v>
      </c>
      <c r="CR200" s="18">
        <v>0</v>
      </c>
      <c r="CS200" s="18">
        <v>3</v>
      </c>
      <c r="CT200" s="18">
        <v>0</v>
      </c>
      <c r="CU200" s="18">
        <v>0</v>
      </c>
      <c r="CV200" s="18">
        <v>0</v>
      </c>
      <c r="CX200" s="18">
        <v>1</v>
      </c>
      <c r="CY200" s="18">
        <v>1</v>
      </c>
      <c r="CZ200" s="18">
        <v>0</v>
      </c>
      <c r="DA200" s="18">
        <v>1</v>
      </c>
      <c r="DB200" s="18">
        <v>1</v>
      </c>
      <c r="DC200" s="18">
        <v>0</v>
      </c>
      <c r="DD200" s="18">
        <v>1</v>
      </c>
      <c r="DE200" s="18">
        <v>1</v>
      </c>
      <c r="DF200" s="18">
        <v>1</v>
      </c>
      <c r="DG200" s="18">
        <v>1</v>
      </c>
      <c r="DH200" s="18">
        <v>1</v>
      </c>
      <c r="DI200" s="18">
        <v>1</v>
      </c>
      <c r="DK200" s="18">
        <v>1</v>
      </c>
      <c r="DL200" s="18">
        <v>1</v>
      </c>
      <c r="DM200" s="18" t="s">
        <v>111</v>
      </c>
      <c r="DN200" s="18" t="s">
        <v>5314</v>
      </c>
      <c r="DO200" s="18" t="s">
        <v>5143</v>
      </c>
      <c r="DP200" s="18" t="s">
        <v>113</v>
      </c>
      <c r="DQ200" s="18" t="s">
        <v>5168</v>
      </c>
      <c r="DS200" s="18">
        <v>0</v>
      </c>
      <c r="DT200" s="18">
        <v>0</v>
      </c>
      <c r="DU200" s="18">
        <v>1</v>
      </c>
      <c r="DV200" s="18" t="s">
        <v>5144</v>
      </c>
      <c r="DX200" s="18" t="s">
        <v>5201</v>
      </c>
      <c r="DY200" s="18" t="s">
        <v>106</v>
      </c>
      <c r="DZ200" s="18" t="s">
        <v>113</v>
      </c>
      <c r="EA200" s="18" t="s">
        <v>5243</v>
      </c>
      <c r="EB200" s="18">
        <v>120</v>
      </c>
      <c r="EC200" s="18" t="s">
        <v>106</v>
      </c>
      <c r="ED200" s="18" t="s">
        <v>5147</v>
      </c>
      <c r="EE200" s="18" t="s">
        <v>113</v>
      </c>
      <c r="EF200" s="18" t="s">
        <v>113</v>
      </c>
      <c r="EH200" s="18" t="s">
        <v>5203</v>
      </c>
      <c r="EI200" s="18" t="s">
        <v>5204</v>
      </c>
      <c r="EJ200" s="18" t="s">
        <v>5361</v>
      </c>
      <c r="EK200" s="18" t="s">
        <v>113</v>
      </c>
      <c r="EL200" s="18" t="s">
        <v>5921</v>
      </c>
      <c r="EM200" s="18" t="s">
        <v>5227</v>
      </c>
      <c r="EN200" s="18" t="s">
        <v>113</v>
      </c>
      <c r="EO200" s="18" t="s">
        <v>113</v>
      </c>
      <c r="EP200" s="18" t="s">
        <v>113</v>
      </c>
      <c r="EQ200" s="18" t="s">
        <v>113</v>
      </c>
      <c r="ER200" s="18" t="s">
        <v>5227</v>
      </c>
      <c r="ES200" s="18" t="s">
        <v>5795</v>
      </c>
      <c r="ET200" s="18" t="s">
        <v>5154</v>
      </c>
      <c r="EU200" s="18" t="s">
        <v>5318</v>
      </c>
      <c r="EV200" s="18" t="s">
        <v>5922</v>
      </c>
      <c r="EW200" s="18" t="s">
        <v>5470</v>
      </c>
      <c r="EX200" s="18" t="s">
        <v>5158</v>
      </c>
      <c r="EY200" s="18" t="s">
        <v>5229</v>
      </c>
      <c r="EZ200" s="18" t="s">
        <v>5308</v>
      </c>
      <c r="FA200" s="18" t="s">
        <v>144</v>
      </c>
      <c r="FB200" s="18" t="s">
        <v>5161</v>
      </c>
    </row>
    <row r="201" spans="1:158" ht="10.5" customHeight="1" x14ac:dyDescent="0.2">
      <c r="A201" s="16">
        <v>41</v>
      </c>
      <c r="B201" s="16" t="s">
        <v>1787</v>
      </c>
      <c r="C201" s="16" t="s">
        <v>1786</v>
      </c>
      <c r="D201" s="16">
        <v>28970</v>
      </c>
      <c r="E201" s="16" t="s">
        <v>6658</v>
      </c>
      <c r="F201" s="18" t="s">
        <v>1786</v>
      </c>
      <c r="G201" s="18" t="s">
        <v>106</v>
      </c>
      <c r="H201" s="15" t="s">
        <v>5127</v>
      </c>
      <c r="I201" s="18">
        <v>14</v>
      </c>
      <c r="J201" s="18">
        <v>9</v>
      </c>
      <c r="K201" s="18">
        <v>5</v>
      </c>
      <c r="L201" s="18">
        <v>0</v>
      </c>
      <c r="M201" s="18" t="s">
        <v>5183</v>
      </c>
      <c r="N201" s="18" t="s">
        <v>5923</v>
      </c>
      <c r="O201" s="18">
        <v>45872</v>
      </c>
      <c r="T201" s="18" t="s">
        <v>111</v>
      </c>
      <c r="U201" s="18" t="s">
        <v>5185</v>
      </c>
      <c r="V201" s="18" t="s">
        <v>113</v>
      </c>
      <c r="W201" s="18" t="s">
        <v>5211</v>
      </c>
      <c r="Y201" s="18" t="s">
        <v>5740</v>
      </c>
      <c r="Z201" s="18" t="s">
        <v>106</v>
      </c>
      <c r="AA201" s="18" t="s">
        <v>5163</v>
      </c>
      <c r="AB201" s="18" t="s">
        <v>5213</v>
      </c>
      <c r="AC201" s="18" t="s">
        <v>5127</v>
      </c>
      <c r="AD201" s="18" t="s">
        <v>5127</v>
      </c>
      <c r="AE201" s="18" t="s">
        <v>5127</v>
      </c>
      <c r="AF201" s="18" t="s">
        <v>5127</v>
      </c>
      <c r="AG201" s="18" t="s">
        <v>5127</v>
      </c>
      <c r="AH201" s="18" t="s">
        <v>111</v>
      </c>
      <c r="AI201" s="18">
        <v>2</v>
      </c>
      <c r="AK201" s="18" t="s">
        <v>5164</v>
      </c>
      <c r="AN201" s="18">
        <v>695</v>
      </c>
      <c r="AO201" s="18" t="s">
        <v>5186</v>
      </c>
      <c r="AP201" s="18" t="s">
        <v>5924</v>
      </c>
      <c r="AQ201" s="18" t="s">
        <v>5269</v>
      </c>
      <c r="AR201" s="18" t="s">
        <v>5168</v>
      </c>
      <c r="AT201" s="17">
        <f>(365*D201*0.7)/1000</f>
        <v>7401.8349999999991</v>
      </c>
      <c r="AU201" s="17">
        <f t="shared" si="8"/>
        <v>37</v>
      </c>
      <c r="AV201" s="18">
        <v>37</v>
      </c>
      <c r="AW201" s="18">
        <v>0</v>
      </c>
      <c r="AY201" s="18" t="s">
        <v>5237</v>
      </c>
      <c r="AZ201" s="18">
        <v>0</v>
      </c>
      <c r="BB201" s="18">
        <v>0</v>
      </c>
      <c r="BD201" s="18">
        <v>0</v>
      </c>
      <c r="BE201" s="18">
        <v>0</v>
      </c>
      <c r="BG201" s="18" t="s">
        <v>5169</v>
      </c>
      <c r="BH201" s="18">
        <f>8500/1000</f>
        <v>8.5</v>
      </c>
      <c r="BI201" s="18">
        <f>500/1000</f>
        <v>0.5</v>
      </c>
      <c r="BJ201" s="18">
        <v>0</v>
      </c>
      <c r="BQ201" s="18">
        <v>284</v>
      </c>
      <c r="BR201" s="18">
        <v>142</v>
      </c>
      <c r="BS201" s="18">
        <v>25</v>
      </c>
      <c r="BT201" s="18">
        <v>200</v>
      </c>
      <c r="BU201" s="18">
        <v>0</v>
      </c>
      <c r="BV201" s="18">
        <f t="shared" si="9"/>
        <v>651</v>
      </c>
      <c r="BW201" s="15">
        <f t="shared" si="10"/>
        <v>651</v>
      </c>
      <c r="BY201" s="18" t="s">
        <v>5134</v>
      </c>
      <c r="BZ201" s="18" t="s">
        <v>5312</v>
      </c>
      <c r="CD201" s="18" t="s">
        <v>5127</v>
      </c>
      <c r="CE201" s="18" t="s">
        <v>111</v>
      </c>
      <c r="CF201" s="18" t="s">
        <v>5135</v>
      </c>
      <c r="CG201" s="18" t="s">
        <v>5925</v>
      </c>
      <c r="CH201" s="18" t="s">
        <v>5241</v>
      </c>
      <c r="CI201" s="18" t="s">
        <v>111</v>
      </c>
      <c r="CJ201" s="18" t="s">
        <v>5196</v>
      </c>
      <c r="CK201" s="18" t="s">
        <v>5197</v>
      </c>
      <c r="CL201" s="18">
        <v>3</v>
      </c>
      <c r="CM201" s="18">
        <v>0</v>
      </c>
      <c r="CN201" s="18">
        <v>0</v>
      </c>
      <c r="CO201" s="18">
        <v>1</v>
      </c>
      <c r="CP201" s="18">
        <v>1</v>
      </c>
      <c r="CQ201" s="18">
        <v>1</v>
      </c>
      <c r="CR201" s="18">
        <v>0</v>
      </c>
      <c r="CS201" s="18" t="s">
        <v>5141</v>
      </c>
      <c r="CT201" s="18">
        <v>1</v>
      </c>
      <c r="CU201" s="18">
        <v>0</v>
      </c>
      <c r="CV201" s="18">
        <v>2</v>
      </c>
      <c r="CX201" s="18">
        <v>0</v>
      </c>
      <c r="CY201" s="18">
        <v>0</v>
      </c>
      <c r="CZ201" s="18">
        <v>0</v>
      </c>
      <c r="DA201" s="18">
        <v>1</v>
      </c>
      <c r="DB201" s="18">
        <v>1</v>
      </c>
      <c r="DC201" s="18">
        <v>1</v>
      </c>
      <c r="DD201" s="18">
        <v>1</v>
      </c>
      <c r="DE201" s="18">
        <v>0</v>
      </c>
      <c r="DF201" s="18" t="s">
        <v>5141</v>
      </c>
      <c r="DG201" s="18">
        <v>0</v>
      </c>
      <c r="DH201" s="18">
        <v>0</v>
      </c>
      <c r="DI201" s="18">
        <v>0</v>
      </c>
      <c r="DK201" s="18">
        <v>0</v>
      </c>
      <c r="DL201" s="18">
        <v>1</v>
      </c>
      <c r="DM201" s="18" t="s">
        <v>5127</v>
      </c>
      <c r="DN201" s="18" t="s">
        <v>5258</v>
      </c>
      <c r="DO201" s="18" t="s">
        <v>5360</v>
      </c>
      <c r="DP201" s="18" t="s">
        <v>113</v>
      </c>
      <c r="DS201" s="18">
        <v>0</v>
      </c>
      <c r="DT201" s="18">
        <v>1</v>
      </c>
      <c r="DU201" s="18">
        <v>1</v>
      </c>
      <c r="DV201" s="18" t="s">
        <v>5260</v>
      </c>
      <c r="DX201" s="18" t="s">
        <v>5222</v>
      </c>
      <c r="DY201" s="18" t="s">
        <v>106</v>
      </c>
      <c r="DZ201" s="18" t="s">
        <v>113</v>
      </c>
      <c r="EA201" s="18" t="s">
        <v>5146</v>
      </c>
      <c r="EB201" s="18">
        <v>658</v>
      </c>
      <c r="EC201" s="18" t="s">
        <v>106</v>
      </c>
      <c r="ED201" s="18" t="s">
        <v>5176</v>
      </c>
      <c r="EE201" s="18" t="s">
        <v>113</v>
      </c>
      <c r="EF201" s="18" t="s">
        <v>106</v>
      </c>
      <c r="EG201" s="18" t="s">
        <v>5603</v>
      </c>
      <c r="EH201" s="18" t="s">
        <v>5149</v>
      </c>
      <c r="EI201" s="18" t="s">
        <v>5204</v>
      </c>
      <c r="EJ201" s="18" t="s">
        <v>5177</v>
      </c>
      <c r="EK201" s="18" t="s">
        <v>113</v>
      </c>
      <c r="EN201" s="18" t="s">
        <v>113</v>
      </c>
      <c r="EO201" s="18" t="s">
        <v>113</v>
      </c>
      <c r="EP201" s="18" t="s">
        <v>113</v>
      </c>
      <c r="EQ201" s="18" t="s">
        <v>113</v>
      </c>
      <c r="ER201" s="18" t="s">
        <v>5206</v>
      </c>
      <c r="ES201" s="18" t="s">
        <v>5153</v>
      </c>
      <c r="ET201" s="18" t="s">
        <v>5154</v>
      </c>
      <c r="EU201" s="18" t="s">
        <v>5155</v>
      </c>
      <c r="EV201" s="18" t="s">
        <v>5926</v>
      </c>
      <c r="EW201" s="18" t="s">
        <v>5870</v>
      </c>
      <c r="EX201" s="18" t="s">
        <v>5158</v>
      </c>
      <c r="EY201" s="18" t="s">
        <v>5229</v>
      </c>
      <c r="EZ201" s="18" t="s">
        <v>5160</v>
      </c>
      <c r="FA201" s="18" t="s">
        <v>144</v>
      </c>
      <c r="FB201" s="18" t="s">
        <v>5161</v>
      </c>
    </row>
    <row r="202" spans="1:158" ht="10.5" customHeight="1" x14ac:dyDescent="0.2">
      <c r="A202" s="16">
        <v>41</v>
      </c>
      <c r="B202" s="16" t="s">
        <v>2080</v>
      </c>
      <c r="C202" s="16" t="s">
        <v>2081</v>
      </c>
      <c r="D202" s="16">
        <v>6531</v>
      </c>
      <c r="E202" s="16" t="s">
        <v>6656</v>
      </c>
      <c r="H202" s="15" t="s">
        <v>6661</v>
      </c>
      <c r="AT202" s="17">
        <f>(365*D202*0.7)/1000</f>
        <v>1668.6704999999999</v>
      </c>
      <c r="AU202" s="17">
        <f t="shared" si="8"/>
        <v>0</v>
      </c>
      <c r="BW202" s="15">
        <f t="shared" si="10"/>
        <v>0</v>
      </c>
    </row>
    <row r="203" spans="1:158" ht="10.5" customHeight="1" x14ac:dyDescent="0.2">
      <c r="A203" s="16">
        <v>41</v>
      </c>
      <c r="B203" s="16" t="s">
        <v>1798</v>
      </c>
      <c r="C203" s="16" t="s">
        <v>1797</v>
      </c>
      <c r="D203" s="16">
        <v>5586</v>
      </c>
      <c r="E203" s="16" t="s">
        <v>6656</v>
      </c>
      <c r="F203" s="18" t="s">
        <v>1797</v>
      </c>
      <c r="G203" s="18" t="s">
        <v>113</v>
      </c>
      <c r="H203" s="15" t="s">
        <v>111</v>
      </c>
      <c r="AT203" s="17">
        <f>(365*D203*0.7)/1000</f>
        <v>1427.223</v>
      </c>
      <c r="AU203" s="17">
        <f t="shared" si="8"/>
        <v>0</v>
      </c>
      <c r="BW203" s="15">
        <f t="shared" si="10"/>
        <v>0</v>
      </c>
    </row>
    <row r="204" spans="1:158" ht="10.5" customHeight="1" x14ac:dyDescent="0.2">
      <c r="A204" s="16">
        <v>41</v>
      </c>
      <c r="B204" s="16" t="s">
        <v>1798</v>
      </c>
      <c r="C204" s="16" t="s">
        <v>1797</v>
      </c>
      <c r="D204" s="16">
        <v>5586</v>
      </c>
      <c r="E204" s="16" t="s">
        <v>6656</v>
      </c>
      <c r="F204" s="18" t="s">
        <v>1797</v>
      </c>
      <c r="G204" s="18" t="s">
        <v>113</v>
      </c>
      <c r="H204" s="15" t="s">
        <v>111</v>
      </c>
      <c r="AT204" s="17">
        <f>(365*D204*0.7)/1000</f>
        <v>1427.223</v>
      </c>
      <c r="AU204" s="17">
        <f t="shared" si="8"/>
        <v>0</v>
      </c>
      <c r="BW204" s="15">
        <f t="shared" si="10"/>
        <v>0</v>
      </c>
    </row>
    <row r="205" spans="1:158" ht="10.5" customHeight="1" x14ac:dyDescent="0.2">
      <c r="A205" s="16">
        <v>41</v>
      </c>
      <c r="B205" s="16" t="s">
        <v>1811</v>
      </c>
      <c r="C205" s="16" t="s">
        <v>1810</v>
      </c>
      <c r="D205" s="16">
        <v>32966</v>
      </c>
      <c r="E205" s="16" t="s">
        <v>6658</v>
      </c>
      <c r="F205" s="18" t="s">
        <v>1810</v>
      </c>
      <c r="G205" s="18" t="s">
        <v>106</v>
      </c>
      <c r="H205" s="15" t="s">
        <v>5127</v>
      </c>
      <c r="I205" s="18">
        <v>14</v>
      </c>
      <c r="J205" s="18">
        <v>8</v>
      </c>
      <c r="K205" s="18">
        <v>6</v>
      </c>
      <c r="L205" s="18">
        <v>0</v>
      </c>
      <c r="M205" s="18" t="s">
        <v>5183</v>
      </c>
      <c r="N205" s="18" t="s">
        <v>5927</v>
      </c>
      <c r="T205" s="18" t="s">
        <v>111</v>
      </c>
      <c r="U205" s="18" t="s">
        <v>5250</v>
      </c>
      <c r="V205" s="18" t="s">
        <v>113</v>
      </c>
      <c r="W205" s="18" t="s">
        <v>5211</v>
      </c>
      <c r="Y205" s="18" t="s">
        <v>5232</v>
      </c>
      <c r="Z205" s="18" t="s">
        <v>106</v>
      </c>
      <c r="AA205" s="18" t="s">
        <v>5163</v>
      </c>
      <c r="AB205" s="18" t="s">
        <v>179</v>
      </c>
      <c r="AC205" s="18" t="s">
        <v>5127</v>
      </c>
      <c r="AD205" s="18" t="s">
        <v>5127</v>
      </c>
      <c r="AE205" s="18" t="s">
        <v>5127</v>
      </c>
      <c r="AF205" s="18" t="s">
        <v>5127</v>
      </c>
      <c r="AG205" s="18" t="s">
        <v>5127</v>
      </c>
      <c r="AH205" s="18" t="s">
        <v>5127</v>
      </c>
      <c r="AI205" s="18">
        <v>1</v>
      </c>
      <c r="AK205" s="18" t="s">
        <v>5164</v>
      </c>
      <c r="AN205" s="18">
        <v>305</v>
      </c>
      <c r="AO205" s="18" t="s">
        <v>5165</v>
      </c>
      <c r="AP205" s="18" t="s">
        <v>5928</v>
      </c>
      <c r="AQ205" s="18" t="s">
        <v>5929</v>
      </c>
      <c r="AR205" s="18" t="s">
        <v>5168</v>
      </c>
      <c r="AT205" s="17">
        <f>(365*D205*0.7)/1000</f>
        <v>8422.8130000000001</v>
      </c>
      <c r="AU205" s="17">
        <f t="shared" si="8"/>
        <v>91</v>
      </c>
      <c r="AV205" s="18">
        <v>91</v>
      </c>
      <c r="AW205" s="18">
        <v>0</v>
      </c>
      <c r="AY205" s="18" t="s">
        <v>5334</v>
      </c>
      <c r="AZ205" s="18">
        <v>0</v>
      </c>
      <c r="BA205" s="18">
        <v>0</v>
      </c>
      <c r="BB205" s="18">
        <v>0</v>
      </c>
      <c r="BD205" s="18">
        <f>2900/1000</f>
        <v>2.9</v>
      </c>
      <c r="BE205" s="18">
        <v>0</v>
      </c>
      <c r="BG205" s="18" t="s">
        <v>5375</v>
      </c>
      <c r="BH205" s="18">
        <f>480/1000</f>
        <v>0.48</v>
      </c>
      <c r="BQ205" s="18">
        <f>12000/1000</f>
        <v>12</v>
      </c>
      <c r="BR205" s="18">
        <f>7000/1000</f>
        <v>7</v>
      </c>
      <c r="BS205" s="18">
        <f>3000/1000</f>
        <v>3</v>
      </c>
      <c r="BT205" s="18">
        <f>5000/1000</f>
        <v>5</v>
      </c>
      <c r="BU205" s="18">
        <v>0</v>
      </c>
      <c r="BV205" s="18">
        <f>SUM(BQ205:BU205)</f>
        <v>27</v>
      </c>
      <c r="BW205" s="15">
        <f t="shared" si="10"/>
        <v>27</v>
      </c>
      <c r="BY205" s="18" t="s">
        <v>5134</v>
      </c>
      <c r="BZ205" s="18" t="s">
        <v>5930</v>
      </c>
      <c r="CD205" s="18" t="s">
        <v>5127</v>
      </c>
      <c r="CE205" s="18" t="s">
        <v>111</v>
      </c>
      <c r="CF205" s="18" t="s">
        <v>5135</v>
      </c>
      <c r="CG205" s="18" t="s">
        <v>5427</v>
      </c>
      <c r="CH205" s="18" t="s">
        <v>5241</v>
      </c>
      <c r="CI205" s="18" t="s">
        <v>5195</v>
      </c>
      <c r="CJ205" s="18" t="s">
        <v>5196</v>
      </c>
      <c r="CK205" s="18" t="s">
        <v>5197</v>
      </c>
      <c r="CL205" s="18">
        <v>2</v>
      </c>
      <c r="CM205" s="18">
        <v>0</v>
      </c>
      <c r="CN205" s="18">
        <v>1</v>
      </c>
      <c r="CO205" s="18">
        <v>1</v>
      </c>
      <c r="CP205" s="18">
        <v>3</v>
      </c>
      <c r="CQ205" s="18">
        <v>1</v>
      </c>
      <c r="CR205" s="18">
        <v>0</v>
      </c>
      <c r="CS205" s="18" t="s">
        <v>5141</v>
      </c>
      <c r="CT205" s="18">
        <v>2</v>
      </c>
      <c r="CU205" s="18" t="s">
        <v>5141</v>
      </c>
      <c r="CV205" s="18" t="s">
        <v>5141</v>
      </c>
      <c r="CX205" s="18">
        <v>1</v>
      </c>
      <c r="CY205" s="18">
        <v>1</v>
      </c>
      <c r="CZ205" s="18">
        <v>1</v>
      </c>
      <c r="DA205" s="18">
        <v>2</v>
      </c>
      <c r="DB205" s="18">
        <v>2</v>
      </c>
      <c r="DC205" s="18">
        <v>2</v>
      </c>
      <c r="DD205" s="18">
        <v>1</v>
      </c>
      <c r="DE205" s="18" t="s">
        <v>5141</v>
      </c>
      <c r="DF205" s="18" t="s">
        <v>5141</v>
      </c>
      <c r="DG205" s="18">
        <v>2</v>
      </c>
      <c r="DH205" s="18" t="s">
        <v>5141</v>
      </c>
      <c r="DI205" s="18" t="s">
        <v>5141</v>
      </c>
      <c r="DK205" s="18">
        <v>0</v>
      </c>
      <c r="DL205" s="18">
        <v>1</v>
      </c>
      <c r="DM205" s="18" t="s">
        <v>5127</v>
      </c>
      <c r="DN205" s="18" t="s">
        <v>5359</v>
      </c>
      <c r="DO205" s="18" t="s">
        <v>5199</v>
      </c>
      <c r="DP205" s="18" t="s">
        <v>106</v>
      </c>
      <c r="DQ205" s="18" t="s">
        <v>179</v>
      </c>
      <c r="DS205" s="18">
        <v>0</v>
      </c>
      <c r="DT205" s="18">
        <v>1</v>
      </c>
      <c r="DU205" s="18">
        <v>1</v>
      </c>
      <c r="DV205" s="18" t="s">
        <v>5377</v>
      </c>
      <c r="DX205" s="18" t="s">
        <v>5201</v>
      </c>
      <c r="DY205" s="18" t="s">
        <v>106</v>
      </c>
      <c r="DZ205" s="18" t="s">
        <v>113</v>
      </c>
      <c r="EA205" s="18" t="s">
        <v>5202</v>
      </c>
      <c r="EB205" s="18">
        <v>209</v>
      </c>
      <c r="EC205" s="18" t="s">
        <v>106</v>
      </c>
      <c r="ED205" s="18" t="s">
        <v>5176</v>
      </c>
      <c r="EE205" s="18" t="s">
        <v>113</v>
      </c>
      <c r="EF205" s="18" t="s">
        <v>113</v>
      </c>
      <c r="EG205" s="18" t="s">
        <v>5326</v>
      </c>
      <c r="EH205" s="18" t="s">
        <v>5203</v>
      </c>
      <c r="EI205" s="18" t="s">
        <v>5204</v>
      </c>
      <c r="EJ205" s="18" t="s">
        <v>5177</v>
      </c>
      <c r="EK205" s="18" t="s">
        <v>113</v>
      </c>
      <c r="EL205" s="18" t="s">
        <v>236</v>
      </c>
      <c r="EM205" s="18" t="s">
        <v>5227</v>
      </c>
      <c r="EN205" s="18" t="s">
        <v>113</v>
      </c>
      <c r="EO205" s="18" t="s">
        <v>113</v>
      </c>
      <c r="EP205" s="18" t="s">
        <v>113</v>
      </c>
      <c r="EQ205" s="18" t="s">
        <v>113</v>
      </c>
      <c r="ER205" s="18" t="s">
        <v>5206</v>
      </c>
      <c r="ES205" s="18" t="s">
        <v>5153</v>
      </c>
      <c r="ET205" s="18" t="s">
        <v>5154</v>
      </c>
      <c r="EU205" s="18" t="s">
        <v>5155</v>
      </c>
      <c r="EV205" s="18" t="s">
        <v>5482</v>
      </c>
      <c r="EW205" s="18" t="s">
        <v>5157</v>
      </c>
      <c r="EX205" s="18" t="s">
        <v>5158</v>
      </c>
      <c r="EY205" s="18" t="s">
        <v>5181</v>
      </c>
      <c r="EZ205" s="18" t="s">
        <v>5931</v>
      </c>
      <c r="FA205" s="18" t="s">
        <v>144</v>
      </c>
      <c r="FB205" s="18" t="s">
        <v>5161</v>
      </c>
    </row>
    <row r="206" spans="1:158" ht="10.5" customHeight="1" x14ac:dyDescent="0.2">
      <c r="A206" s="16">
        <v>41</v>
      </c>
      <c r="B206" s="16" t="s">
        <v>1837</v>
      </c>
      <c r="C206" s="16" t="s">
        <v>1836</v>
      </c>
      <c r="D206" s="16">
        <v>6733</v>
      </c>
      <c r="E206" s="16" t="s">
        <v>6656</v>
      </c>
      <c r="F206" s="18" t="s">
        <v>1836</v>
      </c>
      <c r="G206" s="18" t="s">
        <v>106</v>
      </c>
      <c r="H206" s="15" t="s">
        <v>5127</v>
      </c>
      <c r="I206" s="18">
        <v>5</v>
      </c>
      <c r="J206" s="18">
        <v>4</v>
      </c>
      <c r="K206" s="18">
        <v>1</v>
      </c>
      <c r="M206" s="18" t="s">
        <v>5183</v>
      </c>
      <c r="N206" s="18" t="s">
        <v>5932</v>
      </c>
      <c r="T206" s="18" t="s">
        <v>111</v>
      </c>
      <c r="U206" s="18" t="s">
        <v>5123</v>
      </c>
      <c r="V206" s="18" t="s">
        <v>113</v>
      </c>
      <c r="W206" s="18" t="s">
        <v>5211</v>
      </c>
      <c r="Y206" s="18" t="s">
        <v>5740</v>
      </c>
      <c r="Z206" s="18" t="s">
        <v>113</v>
      </c>
      <c r="AA206" s="18" t="s">
        <v>5163</v>
      </c>
      <c r="AB206" s="18" t="s">
        <v>179</v>
      </c>
      <c r="AC206" s="18" t="s">
        <v>111</v>
      </c>
      <c r="AD206" s="18" t="s">
        <v>111</v>
      </c>
      <c r="AE206" s="18" t="s">
        <v>111</v>
      </c>
      <c r="AF206" s="18" t="s">
        <v>111</v>
      </c>
      <c r="AG206" s="18" t="s">
        <v>5127</v>
      </c>
      <c r="AH206" s="18" t="s">
        <v>111</v>
      </c>
      <c r="AI206" s="18">
        <v>0</v>
      </c>
      <c r="AK206" s="18" t="s">
        <v>5164</v>
      </c>
      <c r="AN206" s="18">
        <v>13</v>
      </c>
      <c r="AO206" s="18" t="s">
        <v>5391</v>
      </c>
      <c r="AP206" s="18" t="s">
        <v>5933</v>
      </c>
      <c r="AQ206" s="18" t="s">
        <v>5711</v>
      </c>
      <c r="AR206" s="18" t="s">
        <v>5132</v>
      </c>
      <c r="AT206" s="17">
        <f>(365*D206*0.7)/1000</f>
        <v>1720.2815000000001</v>
      </c>
      <c r="AU206" s="17">
        <f t="shared" si="8"/>
        <v>4</v>
      </c>
      <c r="AV206" s="18">
        <v>2</v>
      </c>
      <c r="AW206" s="18">
        <v>2</v>
      </c>
      <c r="AY206" s="18" t="s">
        <v>5934</v>
      </c>
      <c r="BG206" s="18" t="s">
        <v>5400</v>
      </c>
      <c r="BQ206" s="18">
        <f>32760/1000</f>
        <v>32.76</v>
      </c>
      <c r="BR206" s="18">
        <f>37440/1000</f>
        <v>37.44</v>
      </c>
      <c r="BS206" s="18">
        <f>7800/1000</f>
        <v>7.8</v>
      </c>
      <c r="BT206" s="18">
        <f>7800/1000</f>
        <v>7.8</v>
      </c>
      <c r="BU206" s="18">
        <f>15600/1000</f>
        <v>15.6</v>
      </c>
      <c r="BV206" s="18">
        <f>SUM(BQ206:BU206)</f>
        <v>101.39999999999998</v>
      </c>
      <c r="BW206" s="15">
        <f t="shared" si="10"/>
        <v>101.39999999999998</v>
      </c>
      <c r="BY206" s="18" t="s">
        <v>5134</v>
      </c>
      <c r="BZ206" s="18" t="s">
        <v>5688</v>
      </c>
      <c r="CD206" s="18" t="s">
        <v>5127</v>
      </c>
      <c r="CE206" s="18" t="s">
        <v>111</v>
      </c>
      <c r="CF206" s="18" t="s">
        <v>5135</v>
      </c>
      <c r="CG206" s="18" t="s">
        <v>5935</v>
      </c>
      <c r="CH206" s="18" t="s">
        <v>5241</v>
      </c>
      <c r="CI206" s="18" t="s">
        <v>5138</v>
      </c>
      <c r="CJ206" s="18" t="s">
        <v>5139</v>
      </c>
      <c r="CK206" s="18" t="s">
        <v>5197</v>
      </c>
      <c r="CL206" s="18">
        <v>0</v>
      </c>
      <c r="CM206" s="18">
        <v>0</v>
      </c>
      <c r="CN206" s="18">
        <v>0</v>
      </c>
      <c r="CO206" s="18">
        <v>0</v>
      </c>
      <c r="CP206" s="18">
        <v>0</v>
      </c>
      <c r="CQ206" s="18">
        <v>0</v>
      </c>
      <c r="CR206" s="18">
        <v>0</v>
      </c>
      <c r="CS206" s="18" t="s">
        <v>5141</v>
      </c>
      <c r="CT206" s="18">
        <v>0</v>
      </c>
      <c r="CU206" s="18">
        <v>0</v>
      </c>
      <c r="CV206" s="18">
        <v>0</v>
      </c>
      <c r="CX206" s="18">
        <v>1</v>
      </c>
      <c r="CY206" s="18">
        <v>2</v>
      </c>
      <c r="CZ206" s="18">
        <v>2</v>
      </c>
      <c r="DA206" s="18">
        <v>2</v>
      </c>
      <c r="DB206" s="18">
        <v>1</v>
      </c>
      <c r="DC206" s="18">
        <v>1</v>
      </c>
      <c r="DD206" s="18">
        <v>1</v>
      </c>
      <c r="DE206" s="18">
        <v>5</v>
      </c>
      <c r="DF206" s="18" t="s">
        <v>5141</v>
      </c>
      <c r="DG206" s="18">
        <v>1</v>
      </c>
      <c r="DH206" s="18">
        <v>1</v>
      </c>
      <c r="DI206" s="18">
        <v>1</v>
      </c>
      <c r="DK206" s="18">
        <v>0</v>
      </c>
      <c r="DL206" s="18">
        <v>1</v>
      </c>
      <c r="DM206" s="18" t="s">
        <v>5127</v>
      </c>
      <c r="DN206" s="18" t="s">
        <v>5299</v>
      </c>
      <c r="DO206" s="18" t="s">
        <v>5199</v>
      </c>
      <c r="DP206" s="18" t="s">
        <v>113</v>
      </c>
      <c r="DS206" s="18">
        <v>0</v>
      </c>
      <c r="DT206" s="18">
        <v>0</v>
      </c>
      <c r="DU206" s="18">
        <v>0</v>
      </c>
      <c r="DV206" s="18" t="s">
        <v>5144</v>
      </c>
      <c r="DX206" s="18" t="s">
        <v>5222</v>
      </c>
      <c r="DY206" s="18" t="s">
        <v>106</v>
      </c>
      <c r="DZ206" s="18" t="s">
        <v>113</v>
      </c>
      <c r="EA206" s="18" t="s">
        <v>5146</v>
      </c>
      <c r="EB206" s="18">
        <v>10</v>
      </c>
      <c r="EC206" s="18" t="s">
        <v>106</v>
      </c>
      <c r="ED206" s="18" t="s">
        <v>5147</v>
      </c>
      <c r="EE206" s="18" t="s">
        <v>106</v>
      </c>
      <c r="EF206" s="18" t="s">
        <v>113</v>
      </c>
      <c r="EG206" s="18" t="s">
        <v>5148</v>
      </c>
      <c r="EH206" s="18" t="s">
        <v>5203</v>
      </c>
      <c r="EI206" s="18" t="s">
        <v>5204</v>
      </c>
      <c r="EJ206" s="18" t="s">
        <v>5343</v>
      </c>
      <c r="EN206" s="18" t="s">
        <v>113</v>
      </c>
      <c r="EO206" s="18" t="s">
        <v>113</v>
      </c>
      <c r="EP206" s="18" t="s">
        <v>106</v>
      </c>
      <c r="EQ206" s="18" t="s">
        <v>113</v>
      </c>
      <c r="ER206" s="18" t="s">
        <v>5289</v>
      </c>
      <c r="ES206" s="18" t="s">
        <v>5317</v>
      </c>
      <c r="ET206" s="18" t="s">
        <v>5154</v>
      </c>
      <c r="EU206" s="18" t="s">
        <v>5289</v>
      </c>
      <c r="EV206" s="18" t="s">
        <v>5608</v>
      </c>
      <c r="EW206" s="18" t="s">
        <v>5881</v>
      </c>
      <c r="EX206" s="18" t="s">
        <v>5158</v>
      </c>
      <c r="EY206" s="18" t="s">
        <v>5181</v>
      </c>
      <c r="EZ206" s="18" t="s">
        <v>5308</v>
      </c>
      <c r="FA206" s="18" t="s">
        <v>144</v>
      </c>
      <c r="FB206" s="18" t="s">
        <v>5161</v>
      </c>
    </row>
    <row r="207" spans="1:158" ht="10.5" customHeight="1" x14ac:dyDescent="0.2">
      <c r="A207" s="16">
        <v>41</v>
      </c>
      <c r="B207" s="16" t="s">
        <v>2421</v>
      </c>
      <c r="C207" s="16" t="s">
        <v>2422</v>
      </c>
      <c r="D207" s="16">
        <v>7961</v>
      </c>
      <c r="E207" s="16" t="s">
        <v>6656</v>
      </c>
      <c r="H207" s="15" t="s">
        <v>6661</v>
      </c>
      <c r="AT207" s="17">
        <f>(365*D207*0.7)/1000</f>
        <v>2034.0354999999997</v>
      </c>
      <c r="AU207" s="17">
        <f t="shared" si="8"/>
        <v>0</v>
      </c>
      <c r="BW207" s="15">
        <f t="shared" si="10"/>
        <v>0</v>
      </c>
    </row>
    <row r="208" spans="1:158" ht="10.5" customHeight="1" x14ac:dyDescent="0.2">
      <c r="A208" s="16">
        <v>41</v>
      </c>
      <c r="B208" s="16" t="s">
        <v>1850</v>
      </c>
      <c r="C208" s="16" t="s">
        <v>1849</v>
      </c>
      <c r="D208" s="16">
        <v>4792</v>
      </c>
      <c r="E208" s="16" t="s">
        <v>6656</v>
      </c>
      <c r="F208" s="18" t="s">
        <v>1849</v>
      </c>
      <c r="G208" s="18" t="s">
        <v>113</v>
      </c>
      <c r="H208" s="15" t="s">
        <v>111</v>
      </c>
      <c r="AT208" s="17">
        <f>(365*D208*0.7)/1000</f>
        <v>1224.356</v>
      </c>
      <c r="AU208" s="17">
        <f t="shared" si="8"/>
        <v>0</v>
      </c>
      <c r="BW208" s="15">
        <f t="shared" si="10"/>
        <v>0</v>
      </c>
    </row>
    <row r="209" spans="1:158" ht="10.5" customHeight="1" x14ac:dyDescent="0.2">
      <c r="A209" s="16">
        <v>41</v>
      </c>
      <c r="B209" s="16" t="s">
        <v>1863</v>
      </c>
      <c r="C209" s="16" t="s">
        <v>1862</v>
      </c>
      <c r="D209" s="16">
        <v>2217</v>
      </c>
      <c r="E209" s="16" t="s">
        <v>6656</v>
      </c>
      <c r="F209" s="18" t="s">
        <v>1862</v>
      </c>
      <c r="G209" s="18" t="s">
        <v>113</v>
      </c>
      <c r="H209" s="15" t="s">
        <v>111</v>
      </c>
      <c r="AT209" s="17">
        <f>(365*D209*0.7)/1000</f>
        <v>566.44349999999997</v>
      </c>
      <c r="AU209" s="17">
        <f t="shared" si="8"/>
        <v>0</v>
      </c>
      <c r="BW209" s="15">
        <f t="shared" si="10"/>
        <v>0</v>
      </c>
    </row>
    <row r="210" spans="1:158" ht="10.5" customHeight="1" x14ac:dyDescent="0.2">
      <c r="A210" s="16">
        <v>41</v>
      </c>
      <c r="B210" s="16" t="s">
        <v>1877</v>
      </c>
      <c r="C210" s="16" t="s">
        <v>1876</v>
      </c>
      <c r="D210" s="16">
        <v>4762</v>
      </c>
      <c r="E210" s="16" t="s">
        <v>6656</v>
      </c>
      <c r="F210" s="18" t="s">
        <v>1876</v>
      </c>
      <c r="G210" s="18" t="s">
        <v>106</v>
      </c>
      <c r="H210" s="15" t="s">
        <v>5127</v>
      </c>
      <c r="I210" s="18" t="s">
        <v>387</v>
      </c>
      <c r="J210" s="18">
        <v>4</v>
      </c>
      <c r="K210" s="18">
        <v>2</v>
      </c>
      <c r="L210" s="18">
        <v>0</v>
      </c>
      <c r="M210" s="18" t="s">
        <v>5183</v>
      </c>
      <c r="N210" s="18" t="s">
        <v>114</v>
      </c>
      <c r="T210" s="18" t="s">
        <v>111</v>
      </c>
      <c r="U210" s="18" t="s">
        <v>5250</v>
      </c>
      <c r="V210" s="18" t="s">
        <v>113</v>
      </c>
      <c r="W210" s="18" t="s">
        <v>5124</v>
      </c>
      <c r="Y210" s="18" t="s">
        <v>5407</v>
      </c>
      <c r="Z210" s="18" t="s">
        <v>113</v>
      </c>
      <c r="AA210" s="18" t="s">
        <v>5267</v>
      </c>
      <c r="AC210" s="18" t="s">
        <v>111</v>
      </c>
      <c r="AD210" s="18" t="s">
        <v>111</v>
      </c>
      <c r="AE210" s="18" t="s">
        <v>5127</v>
      </c>
      <c r="AF210" s="18" t="s">
        <v>111</v>
      </c>
      <c r="AG210" s="18" t="s">
        <v>111</v>
      </c>
      <c r="AH210" s="18" t="s">
        <v>111</v>
      </c>
      <c r="AI210" s="18">
        <v>0</v>
      </c>
      <c r="AK210" s="18" t="s">
        <v>5164</v>
      </c>
      <c r="AN210" s="18">
        <v>0</v>
      </c>
      <c r="AO210" s="18" t="s">
        <v>5391</v>
      </c>
      <c r="AP210" s="18" t="s">
        <v>5936</v>
      </c>
      <c r="AQ210" s="18" t="s">
        <v>5252</v>
      </c>
      <c r="AR210" s="18" t="s">
        <v>5132</v>
      </c>
      <c r="AT210" s="17">
        <f>(365*D210*0.7)/1000</f>
        <v>1216.691</v>
      </c>
      <c r="AU210" s="17">
        <f t="shared" si="8"/>
        <v>0</v>
      </c>
      <c r="AV210" s="18">
        <v>0</v>
      </c>
      <c r="AW210" s="18">
        <v>0</v>
      </c>
      <c r="AY210" s="18" t="s">
        <v>5493</v>
      </c>
      <c r="BG210" s="18" t="s">
        <v>5169</v>
      </c>
      <c r="BQ210" s="18">
        <v>0</v>
      </c>
      <c r="BR210" s="18">
        <v>0</v>
      </c>
      <c r="BS210" s="18">
        <v>0</v>
      </c>
      <c r="BT210" s="18">
        <v>0</v>
      </c>
      <c r="BU210" s="18">
        <v>0</v>
      </c>
      <c r="BV210" s="18">
        <v>235</v>
      </c>
      <c r="BW210" s="15">
        <f t="shared" si="10"/>
        <v>0</v>
      </c>
      <c r="BY210" s="18" t="s">
        <v>5134</v>
      </c>
      <c r="BZ210" s="18" t="s">
        <v>193</v>
      </c>
      <c r="CD210" s="18" t="s">
        <v>5127</v>
      </c>
      <c r="CE210" s="18" t="s">
        <v>5127</v>
      </c>
      <c r="CF210" s="18" t="s">
        <v>5135</v>
      </c>
      <c r="CG210" s="18" t="s">
        <v>5651</v>
      </c>
      <c r="CH210" s="18" t="s">
        <v>5241</v>
      </c>
      <c r="CI210" s="18" t="s">
        <v>5138</v>
      </c>
      <c r="CJ210" s="18" t="s">
        <v>5196</v>
      </c>
      <c r="CK210" s="18" t="s">
        <v>179</v>
      </c>
      <c r="CL210" s="18">
        <v>2</v>
      </c>
      <c r="CM210" s="18">
        <v>0</v>
      </c>
      <c r="CN210" s="18">
        <v>0</v>
      </c>
      <c r="CO210" s="18">
        <v>1</v>
      </c>
      <c r="CP210" s="18">
        <v>0</v>
      </c>
      <c r="CQ210" s="18">
        <v>0</v>
      </c>
      <c r="CR210" s="18">
        <v>0</v>
      </c>
      <c r="CS210" s="18" t="s">
        <v>5141</v>
      </c>
      <c r="CT210" s="18">
        <v>0</v>
      </c>
      <c r="CU210" s="18">
        <v>0</v>
      </c>
      <c r="CV210" s="18">
        <v>0</v>
      </c>
      <c r="CX210" s="18">
        <v>1</v>
      </c>
      <c r="CY210" s="18">
        <v>0</v>
      </c>
      <c r="CZ210" s="18">
        <v>0</v>
      </c>
      <c r="DA210" s="18">
        <v>0</v>
      </c>
      <c r="DB210" s="18">
        <v>0</v>
      </c>
      <c r="DC210" s="18">
        <v>1</v>
      </c>
      <c r="DD210" s="18">
        <v>1</v>
      </c>
      <c r="DE210" s="18">
        <v>0</v>
      </c>
      <c r="DF210" s="18" t="s">
        <v>5141</v>
      </c>
      <c r="DG210" s="18">
        <v>1</v>
      </c>
      <c r="DH210" s="18">
        <v>0</v>
      </c>
      <c r="DI210" s="18">
        <v>1</v>
      </c>
      <c r="DK210" s="18">
        <v>0</v>
      </c>
      <c r="DL210" s="18">
        <v>0</v>
      </c>
      <c r="DM210" s="18" t="s">
        <v>5127</v>
      </c>
      <c r="DN210" s="18" t="s">
        <v>5172</v>
      </c>
      <c r="DO210" s="18" t="s">
        <v>5259</v>
      </c>
      <c r="DP210" s="18" t="s">
        <v>113</v>
      </c>
      <c r="DQ210" s="18" t="s">
        <v>5132</v>
      </c>
      <c r="DS210" s="18">
        <v>0</v>
      </c>
      <c r="DT210" s="18">
        <v>0</v>
      </c>
      <c r="DU210" s="18">
        <v>1</v>
      </c>
      <c r="DV210" s="18" t="s">
        <v>5144</v>
      </c>
      <c r="DX210" s="18" t="s">
        <v>5222</v>
      </c>
      <c r="DY210" s="18" t="s">
        <v>106</v>
      </c>
      <c r="DZ210" s="18" t="s">
        <v>113</v>
      </c>
      <c r="EA210" s="18" t="s">
        <v>5146</v>
      </c>
      <c r="EB210" s="18">
        <v>235</v>
      </c>
      <c r="EC210" s="18" t="s">
        <v>106</v>
      </c>
      <c r="ED210" s="18" t="s">
        <v>5176</v>
      </c>
      <c r="EE210" s="18" t="s">
        <v>113</v>
      </c>
      <c r="EF210" s="18" t="s">
        <v>106</v>
      </c>
      <c r="EG210" s="18" t="s">
        <v>5148</v>
      </c>
      <c r="EH210" s="18" t="s">
        <v>5203</v>
      </c>
      <c r="EI210" s="18" t="s">
        <v>5204</v>
      </c>
      <c r="EJ210" s="18" t="s">
        <v>5177</v>
      </c>
      <c r="EK210" s="18" t="s">
        <v>113</v>
      </c>
      <c r="EM210" s="18" t="s">
        <v>5227</v>
      </c>
      <c r="EN210" s="18" t="s">
        <v>113</v>
      </c>
      <c r="EO210" s="18" t="s">
        <v>113</v>
      </c>
      <c r="EP210" s="18" t="s">
        <v>113</v>
      </c>
      <c r="EQ210" s="18" t="s">
        <v>113</v>
      </c>
      <c r="ER210" s="18" t="s">
        <v>5155</v>
      </c>
      <c r="ES210" s="18" t="s">
        <v>5447</v>
      </c>
      <c r="ET210" s="18" t="s">
        <v>5154</v>
      </c>
      <c r="EU210" s="18" t="s">
        <v>5155</v>
      </c>
      <c r="EV210" s="18" t="s">
        <v>179</v>
      </c>
      <c r="EW210" s="18" t="s">
        <v>5538</v>
      </c>
      <c r="EX210" s="18" t="s">
        <v>5307</v>
      </c>
      <c r="EY210" s="18" t="s">
        <v>5229</v>
      </c>
      <c r="EZ210" s="18" t="s">
        <v>5160</v>
      </c>
      <c r="FA210" s="18" t="s">
        <v>144</v>
      </c>
      <c r="FB210" s="18" t="s">
        <v>5161</v>
      </c>
    </row>
    <row r="211" spans="1:158" ht="10.5" customHeight="1" x14ac:dyDescent="0.2">
      <c r="A211" s="16">
        <v>41</v>
      </c>
      <c r="B211" s="16" t="s">
        <v>3255</v>
      </c>
      <c r="C211" s="16" t="s">
        <v>3256</v>
      </c>
      <c r="D211" s="16">
        <v>13814</v>
      </c>
      <c r="E211" s="16" t="s">
        <v>6656</v>
      </c>
      <c r="H211" s="15" t="s">
        <v>6661</v>
      </c>
      <c r="AT211" s="17">
        <f>(365*D211*0.7)/1000</f>
        <v>3529.4769999999999</v>
      </c>
      <c r="AU211" s="17">
        <f t="shared" si="8"/>
        <v>0</v>
      </c>
      <c r="BW211" s="15">
        <f t="shared" si="10"/>
        <v>0</v>
      </c>
    </row>
    <row r="212" spans="1:158" ht="10.5" customHeight="1" x14ac:dyDescent="0.2">
      <c r="A212" s="16">
        <v>41</v>
      </c>
      <c r="B212" s="16" t="s">
        <v>1891</v>
      </c>
      <c r="C212" s="16" t="s">
        <v>984</v>
      </c>
      <c r="D212" s="16">
        <v>188710</v>
      </c>
      <c r="E212" s="16" t="s">
        <v>6657</v>
      </c>
      <c r="F212" s="18" t="s">
        <v>984</v>
      </c>
      <c r="G212" s="18" t="s">
        <v>106</v>
      </c>
      <c r="H212" s="15" t="s">
        <v>5127</v>
      </c>
      <c r="I212" s="18">
        <v>19</v>
      </c>
      <c r="J212" s="18">
        <v>14</v>
      </c>
      <c r="K212" s="18">
        <v>9</v>
      </c>
      <c r="L212" s="18">
        <v>0</v>
      </c>
      <c r="M212" s="18" t="s">
        <v>5183</v>
      </c>
      <c r="N212" s="18">
        <v>287858</v>
      </c>
      <c r="O212" s="18">
        <v>46399</v>
      </c>
      <c r="T212" s="18" t="s">
        <v>5937</v>
      </c>
      <c r="U212" s="18" t="s">
        <v>5185</v>
      </c>
      <c r="V212" s="18" t="s">
        <v>106</v>
      </c>
      <c r="W212" s="18" t="s">
        <v>5124</v>
      </c>
      <c r="Y212" s="18" t="s">
        <v>5162</v>
      </c>
      <c r="Z212" s="18" t="s">
        <v>106</v>
      </c>
      <c r="AA212" s="18" t="s">
        <v>5267</v>
      </c>
      <c r="AC212" s="18" t="s">
        <v>5127</v>
      </c>
      <c r="AD212" s="18" t="s">
        <v>5127</v>
      </c>
      <c r="AE212" s="18" t="s">
        <v>5127</v>
      </c>
      <c r="AF212" s="18" t="s">
        <v>5127</v>
      </c>
      <c r="AG212" s="18" t="s">
        <v>5127</v>
      </c>
      <c r="AH212" s="18" t="s">
        <v>5127</v>
      </c>
      <c r="AI212" s="18">
        <v>1</v>
      </c>
      <c r="AK212" s="18" t="s">
        <v>5164</v>
      </c>
      <c r="AN212" s="18">
        <v>7200</v>
      </c>
      <c r="AO212" s="18" t="s">
        <v>5186</v>
      </c>
      <c r="AP212" s="18" t="s">
        <v>5938</v>
      </c>
      <c r="AQ212" s="18" t="s">
        <v>5311</v>
      </c>
      <c r="AR212" s="18" t="s">
        <v>5168</v>
      </c>
      <c r="AT212" s="17">
        <f>(365*D212*0.7)/1000</f>
        <v>48215.404999999999</v>
      </c>
      <c r="AU212" s="17">
        <f t="shared" si="8"/>
        <v>360</v>
      </c>
      <c r="AV212" s="18">
        <v>360</v>
      </c>
      <c r="AW212" s="18">
        <v>0</v>
      </c>
      <c r="AY212" s="18" t="s">
        <v>5473</v>
      </c>
      <c r="BG212" s="18" t="s">
        <v>5281</v>
      </c>
      <c r="BQ212" s="18">
        <f>4200</f>
        <v>4200</v>
      </c>
      <c r="BR212" s="18">
        <f>2400</f>
        <v>2400</v>
      </c>
      <c r="BS212" s="18">
        <f>600</f>
        <v>600</v>
      </c>
      <c r="BT212" s="18">
        <f>600</f>
        <v>600</v>
      </c>
      <c r="BU212" s="18">
        <v>0</v>
      </c>
      <c r="BV212" s="18">
        <f>7800</f>
        <v>7800</v>
      </c>
      <c r="BW212" s="15">
        <f t="shared" si="10"/>
        <v>7800</v>
      </c>
      <c r="BY212" s="18" t="s">
        <v>5939</v>
      </c>
      <c r="BZ212" s="18" t="s">
        <v>5192</v>
      </c>
      <c r="CD212" s="18" t="s">
        <v>5127</v>
      </c>
      <c r="CE212" s="18" t="s">
        <v>111</v>
      </c>
      <c r="CF212" s="18" t="s">
        <v>5135</v>
      </c>
      <c r="CG212" s="18" t="s">
        <v>5193</v>
      </c>
      <c r="CH212" s="18" t="s">
        <v>5504</v>
      </c>
      <c r="CI212" s="18" t="s">
        <v>5195</v>
      </c>
      <c r="CJ212" s="18" t="s">
        <v>5196</v>
      </c>
      <c r="CK212" s="18" t="s">
        <v>5197</v>
      </c>
      <c r="CL212" s="18">
        <v>2</v>
      </c>
      <c r="CM212" s="18">
        <v>1</v>
      </c>
      <c r="CN212" s="18">
        <v>0</v>
      </c>
      <c r="CO212" s="18">
        <v>1</v>
      </c>
      <c r="CP212" s="18">
        <v>3</v>
      </c>
      <c r="CQ212" s="18">
        <v>1</v>
      </c>
      <c r="CR212" s="18">
        <v>0</v>
      </c>
      <c r="CS212" s="18" t="s">
        <v>5141</v>
      </c>
      <c r="CT212" s="18">
        <v>0</v>
      </c>
      <c r="CU212" s="18">
        <v>0</v>
      </c>
      <c r="CV212" s="18" t="s">
        <v>5141</v>
      </c>
      <c r="CX212" s="18">
        <v>0</v>
      </c>
      <c r="CY212" s="18">
        <v>0</v>
      </c>
      <c r="CZ212" s="18">
        <v>0</v>
      </c>
      <c r="DA212" s="18">
        <v>0</v>
      </c>
      <c r="DB212" s="18">
        <v>0</v>
      </c>
      <c r="DC212" s="18">
        <v>0</v>
      </c>
      <c r="DD212" s="18">
        <v>1</v>
      </c>
      <c r="DE212" s="18">
        <v>0</v>
      </c>
      <c r="DF212" s="18" t="s">
        <v>5141</v>
      </c>
      <c r="DG212" s="18">
        <v>0</v>
      </c>
      <c r="DH212" s="18">
        <v>0</v>
      </c>
      <c r="DI212" s="18">
        <v>0</v>
      </c>
      <c r="DK212" s="18">
        <v>0</v>
      </c>
      <c r="DL212" s="18">
        <v>0</v>
      </c>
      <c r="DM212" s="18" t="s">
        <v>5127</v>
      </c>
      <c r="DN212" s="18" t="s">
        <v>5172</v>
      </c>
      <c r="DO212" s="18" t="s">
        <v>5940</v>
      </c>
      <c r="DP212" s="18" t="s">
        <v>113</v>
      </c>
      <c r="DS212" s="18">
        <v>0</v>
      </c>
      <c r="DT212" s="18">
        <v>1</v>
      </c>
      <c r="DU212" s="18">
        <v>1</v>
      </c>
      <c r="DV212" s="18" t="s">
        <v>5342</v>
      </c>
      <c r="DX212" s="18" t="s">
        <v>5145</v>
      </c>
      <c r="DY212" s="18" t="s">
        <v>106</v>
      </c>
      <c r="DZ212" s="18" t="s">
        <v>106</v>
      </c>
      <c r="EA212" s="18" t="s">
        <v>5639</v>
      </c>
      <c r="EB212" s="18">
        <v>7200</v>
      </c>
      <c r="EC212" s="18" t="s">
        <v>106</v>
      </c>
      <c r="ED212" s="18" t="s">
        <v>5147</v>
      </c>
      <c r="EE212" s="18" t="s">
        <v>106</v>
      </c>
      <c r="EF212" s="18" t="s">
        <v>106</v>
      </c>
      <c r="EG212" s="18" t="s">
        <v>5404</v>
      </c>
      <c r="EH212" s="18" t="s">
        <v>5203</v>
      </c>
      <c r="EI212" s="18" t="s">
        <v>5204</v>
      </c>
      <c r="EJ212" s="18" t="s">
        <v>5361</v>
      </c>
      <c r="EN212" s="18" t="s">
        <v>113</v>
      </c>
      <c r="EO212" s="18" t="s">
        <v>113</v>
      </c>
      <c r="EP212" s="18" t="s">
        <v>113</v>
      </c>
      <c r="EQ212" s="18" t="s">
        <v>113</v>
      </c>
      <c r="ER212" s="18" t="s">
        <v>5152</v>
      </c>
      <c r="ES212" s="18" t="s">
        <v>5153</v>
      </c>
      <c r="ET212" s="18" t="s">
        <v>5154</v>
      </c>
      <c r="EU212" s="18" t="s">
        <v>5155</v>
      </c>
      <c r="EV212" s="18" t="s">
        <v>5941</v>
      </c>
      <c r="EW212" s="18" t="s">
        <v>5609</v>
      </c>
      <c r="EX212" s="18" t="s">
        <v>5158</v>
      </c>
      <c r="EY212" s="18" t="s">
        <v>5181</v>
      </c>
      <c r="EZ212" s="18" t="s">
        <v>5182</v>
      </c>
      <c r="FA212" s="18" t="s">
        <v>144</v>
      </c>
      <c r="FB212" s="18" t="s">
        <v>5161</v>
      </c>
    </row>
    <row r="213" spans="1:158" ht="10.5" customHeight="1" x14ac:dyDescent="0.2">
      <c r="A213" s="16">
        <v>41</v>
      </c>
      <c r="B213" s="16" t="s">
        <v>1908</v>
      </c>
      <c r="C213" s="16" t="s">
        <v>1907</v>
      </c>
      <c r="D213" s="16">
        <v>7474</v>
      </c>
      <c r="E213" s="16" t="s">
        <v>6656</v>
      </c>
      <c r="F213" s="18" t="s">
        <v>1907</v>
      </c>
      <c r="G213" s="18" t="s">
        <v>106</v>
      </c>
      <c r="H213" s="15" t="s">
        <v>5127</v>
      </c>
      <c r="I213" s="18">
        <v>22</v>
      </c>
      <c r="J213" s="18">
        <v>10</v>
      </c>
      <c r="K213" s="18">
        <v>12</v>
      </c>
      <c r="M213" s="18" t="s">
        <v>5183</v>
      </c>
      <c r="N213" s="18" t="s">
        <v>127</v>
      </c>
      <c r="T213" s="18" t="s">
        <v>111</v>
      </c>
      <c r="U213" s="18" t="s">
        <v>5250</v>
      </c>
      <c r="V213" s="18" t="s">
        <v>106</v>
      </c>
      <c r="W213" s="18" t="s">
        <v>5211</v>
      </c>
      <c r="Y213" s="18" t="s">
        <v>5942</v>
      </c>
      <c r="Z213" s="18" t="s">
        <v>113</v>
      </c>
      <c r="AA213" s="18" t="s">
        <v>5267</v>
      </c>
      <c r="AC213" s="18" t="s">
        <v>111</v>
      </c>
      <c r="AD213" s="18" t="s">
        <v>5127</v>
      </c>
      <c r="AE213" s="18" t="s">
        <v>5127</v>
      </c>
      <c r="AF213" s="18" t="s">
        <v>111</v>
      </c>
      <c r="AG213" s="18" t="s">
        <v>5127</v>
      </c>
      <c r="AH213" s="18" t="s">
        <v>5127</v>
      </c>
      <c r="AI213" s="18">
        <v>0</v>
      </c>
      <c r="AK213" s="18" t="s">
        <v>5164</v>
      </c>
      <c r="AN213" s="18">
        <v>50002024</v>
      </c>
      <c r="AO213" s="18" t="s">
        <v>5294</v>
      </c>
      <c r="AP213" s="18" t="s">
        <v>5943</v>
      </c>
      <c r="AQ213" s="18" t="s">
        <v>5252</v>
      </c>
      <c r="AR213" s="18" t="s">
        <v>179</v>
      </c>
      <c r="AT213" s="17">
        <f>(365*D213*0.7)/1000</f>
        <v>1909.6069999999997</v>
      </c>
      <c r="AU213" s="17">
        <f t="shared" si="8"/>
        <v>30.004047999999997</v>
      </c>
      <c r="AV213" s="18">
        <f>20002024/1000000</f>
        <v>20.002023999999999</v>
      </c>
      <c r="AW213" s="18">
        <f>10002024/1000000</f>
        <v>10.002024</v>
      </c>
      <c r="AY213" s="18" t="s">
        <v>164</v>
      </c>
      <c r="BG213" s="18" t="s">
        <v>5418</v>
      </c>
      <c r="BH213" s="18">
        <f>500/1000</f>
        <v>0.5</v>
      </c>
      <c r="BQ213" s="20">
        <f>10002024/1000000</f>
        <v>10.002024</v>
      </c>
      <c r="BR213" s="20">
        <f>20002024/1000000</f>
        <v>20.002023999999999</v>
      </c>
      <c r="BS213" s="20">
        <f>15002024/1000000</f>
        <v>15.002024</v>
      </c>
      <c r="BT213" s="20">
        <f>20002024/1000000</f>
        <v>20.002023999999999</v>
      </c>
      <c r="BU213" s="20">
        <f>15002024/1000000</f>
        <v>15.002024</v>
      </c>
      <c r="BV213" s="20">
        <f>SUM(BQ213:BU213)</f>
        <v>80.010120000000001</v>
      </c>
      <c r="BW213" s="15">
        <f t="shared" si="10"/>
        <v>80.010120000000001</v>
      </c>
      <c r="BY213" s="18" t="s">
        <v>5134</v>
      </c>
      <c r="BZ213" s="18" t="s">
        <v>193</v>
      </c>
      <c r="CD213" s="18" t="s">
        <v>5127</v>
      </c>
      <c r="CE213" s="18" t="s">
        <v>111</v>
      </c>
      <c r="CF213" s="18" t="s">
        <v>5135</v>
      </c>
      <c r="CG213" s="18" t="s">
        <v>5420</v>
      </c>
      <c r="CH213" s="18" t="s">
        <v>5284</v>
      </c>
      <c r="CI213" s="18" t="s">
        <v>111</v>
      </c>
      <c r="CJ213" s="18" t="s">
        <v>5139</v>
      </c>
      <c r="CK213" s="18" t="s">
        <v>5197</v>
      </c>
      <c r="CL213" s="18">
        <v>1</v>
      </c>
      <c r="CM213" s="18">
        <v>0</v>
      </c>
      <c r="CN213" s="18">
        <v>0</v>
      </c>
      <c r="CO213" s="18">
        <v>1</v>
      </c>
      <c r="CP213" s="18">
        <v>1</v>
      </c>
      <c r="CQ213" s="18">
        <v>1</v>
      </c>
      <c r="CR213" s="18">
        <v>0</v>
      </c>
      <c r="CS213" s="18" t="s">
        <v>5141</v>
      </c>
      <c r="CT213" s="18">
        <v>0</v>
      </c>
      <c r="CU213" s="18">
        <v>1</v>
      </c>
      <c r="CV213" s="18">
        <v>1</v>
      </c>
      <c r="CX213" s="18">
        <v>1</v>
      </c>
      <c r="CY213" s="18">
        <v>0</v>
      </c>
      <c r="CZ213" s="18">
        <v>1</v>
      </c>
      <c r="DA213" s="18">
        <v>0</v>
      </c>
      <c r="DB213" s="18">
        <v>1</v>
      </c>
      <c r="DC213" s="18">
        <v>1</v>
      </c>
      <c r="DD213" s="18">
        <v>1</v>
      </c>
      <c r="DE213" s="18">
        <v>0</v>
      </c>
      <c r="DF213" s="18" t="s">
        <v>5141</v>
      </c>
      <c r="DG213" s="18">
        <v>0</v>
      </c>
      <c r="DH213" s="18">
        <v>0</v>
      </c>
      <c r="DI213" s="18">
        <v>1</v>
      </c>
      <c r="DK213" s="18">
        <v>0</v>
      </c>
      <c r="DL213" s="18">
        <v>0</v>
      </c>
      <c r="DM213" s="18" t="s">
        <v>5127</v>
      </c>
      <c r="DN213" s="18" t="s">
        <v>5944</v>
      </c>
      <c r="DO213" s="18" t="s">
        <v>5315</v>
      </c>
      <c r="DP213" s="18" t="s">
        <v>106</v>
      </c>
      <c r="DQ213" s="18" t="s">
        <v>179</v>
      </c>
      <c r="DS213" s="18">
        <v>20002024</v>
      </c>
      <c r="DT213" s="18">
        <v>0</v>
      </c>
      <c r="DU213" s="18">
        <v>0</v>
      </c>
      <c r="DV213" s="18" t="s">
        <v>5174</v>
      </c>
      <c r="DX213" s="18" t="s">
        <v>5145</v>
      </c>
      <c r="DY213" s="18" t="s">
        <v>106</v>
      </c>
      <c r="DZ213" s="18" t="s">
        <v>113</v>
      </c>
      <c r="EA213" s="18" t="s">
        <v>5243</v>
      </c>
      <c r="EB213" s="18">
        <v>50002024</v>
      </c>
      <c r="EC213" s="18" t="s">
        <v>106</v>
      </c>
      <c r="ED213" s="18" t="s">
        <v>5176</v>
      </c>
      <c r="EE213" s="18" t="s">
        <v>113</v>
      </c>
      <c r="EF213" s="18" t="s">
        <v>113</v>
      </c>
      <c r="EG213" s="18" t="s">
        <v>5404</v>
      </c>
      <c r="EH213" s="18" t="s">
        <v>5203</v>
      </c>
      <c r="EI213" s="18" t="s">
        <v>5204</v>
      </c>
      <c r="EJ213" s="18" t="s">
        <v>5945</v>
      </c>
      <c r="EM213" s="18" t="s">
        <v>5227</v>
      </c>
      <c r="EN213" s="18" t="s">
        <v>113</v>
      </c>
      <c r="EO213" s="18" t="s">
        <v>113</v>
      </c>
      <c r="EP213" s="18" t="s">
        <v>113</v>
      </c>
      <c r="EQ213" s="18" t="s">
        <v>113</v>
      </c>
      <c r="ER213" s="18" t="s">
        <v>5289</v>
      </c>
      <c r="ES213" s="18" t="s">
        <v>5153</v>
      </c>
      <c r="ET213" s="18" t="s">
        <v>5154</v>
      </c>
      <c r="EU213" s="18" t="s">
        <v>5318</v>
      </c>
      <c r="EV213" s="18" t="s">
        <v>5946</v>
      </c>
      <c r="EW213" s="18" t="s">
        <v>5669</v>
      </c>
      <c r="EX213" s="18" t="s">
        <v>5158</v>
      </c>
      <c r="EY213" s="18" t="s">
        <v>5181</v>
      </c>
      <c r="EZ213" s="18" t="s">
        <v>5182</v>
      </c>
      <c r="FA213" s="18" t="s">
        <v>144</v>
      </c>
      <c r="FB213" s="18" t="s">
        <v>5161</v>
      </c>
    </row>
    <row r="214" spans="1:158" ht="10.5" customHeight="1" x14ac:dyDescent="0.2">
      <c r="A214" s="16">
        <v>41</v>
      </c>
      <c r="B214" s="16" t="s">
        <v>1918</v>
      </c>
      <c r="C214" s="16" t="s">
        <v>1917</v>
      </c>
      <c r="D214" s="16">
        <v>44323</v>
      </c>
      <c r="E214" s="16" t="s">
        <v>6658</v>
      </c>
      <c r="H214" s="15" t="s">
        <v>6661</v>
      </c>
      <c r="AT214" s="17">
        <f>(365*D214*0.7)/1000</f>
        <v>11324.5265</v>
      </c>
      <c r="AU214" s="17">
        <f t="shared" si="8"/>
        <v>0</v>
      </c>
      <c r="BW214" s="15">
        <f t="shared" si="10"/>
        <v>0</v>
      </c>
    </row>
    <row r="215" spans="1:158" ht="10.5" customHeight="1" x14ac:dyDescent="0.2">
      <c r="A215" s="16">
        <v>41</v>
      </c>
      <c r="B215" s="16" t="s">
        <v>1927</v>
      </c>
      <c r="C215" s="16" t="s">
        <v>1926</v>
      </c>
      <c r="D215" s="16">
        <v>4872</v>
      </c>
      <c r="E215" s="16" t="s">
        <v>6656</v>
      </c>
      <c r="F215" s="18" t="s">
        <v>1926</v>
      </c>
      <c r="G215" s="18" t="s">
        <v>106</v>
      </c>
      <c r="H215" s="15" t="s">
        <v>5127</v>
      </c>
      <c r="I215" s="18">
        <v>6</v>
      </c>
      <c r="J215" s="18">
        <v>1</v>
      </c>
      <c r="K215" s="18">
        <v>5</v>
      </c>
      <c r="L215" s="18">
        <v>0</v>
      </c>
      <c r="M215" s="18" t="s">
        <v>5183</v>
      </c>
      <c r="N215" s="18" t="s">
        <v>5947</v>
      </c>
      <c r="O215" s="18">
        <v>46641</v>
      </c>
      <c r="T215" s="18" t="s">
        <v>111</v>
      </c>
      <c r="U215" s="18" t="s">
        <v>5250</v>
      </c>
      <c r="V215" s="18" t="s">
        <v>113</v>
      </c>
      <c r="W215" s="18" t="s">
        <v>5124</v>
      </c>
      <c r="Y215" s="18" t="s">
        <v>5740</v>
      </c>
      <c r="Z215" s="18" t="s">
        <v>106</v>
      </c>
      <c r="AA215" s="18" t="s">
        <v>5267</v>
      </c>
      <c r="AB215" s="18" t="s">
        <v>179</v>
      </c>
      <c r="AC215" s="18" t="s">
        <v>111</v>
      </c>
      <c r="AD215" s="18" t="s">
        <v>111</v>
      </c>
      <c r="AE215" s="18" t="s">
        <v>111</v>
      </c>
      <c r="AF215" s="18" t="s">
        <v>111</v>
      </c>
      <c r="AG215" s="18" t="s">
        <v>5127</v>
      </c>
      <c r="AH215" s="18" t="s">
        <v>5127</v>
      </c>
      <c r="AI215" s="18">
        <v>0</v>
      </c>
      <c r="AK215" s="18" t="s">
        <v>5164</v>
      </c>
      <c r="AN215" s="18">
        <v>78</v>
      </c>
      <c r="AO215" s="18" t="s">
        <v>5391</v>
      </c>
      <c r="AP215" s="18" t="s">
        <v>5948</v>
      </c>
      <c r="AQ215" s="18" t="s">
        <v>5384</v>
      </c>
      <c r="AR215" s="18" t="s">
        <v>5168</v>
      </c>
      <c r="AT215" s="17">
        <f>(365*D215*0.7)/1000</f>
        <v>1244.796</v>
      </c>
      <c r="AU215" s="17">
        <f t="shared" si="8"/>
        <v>0</v>
      </c>
      <c r="AV215" s="18">
        <v>0</v>
      </c>
      <c r="AW215" s="18">
        <v>0</v>
      </c>
      <c r="AY215" s="18" t="s">
        <v>5949</v>
      </c>
      <c r="AZ215" s="18">
        <v>0</v>
      </c>
      <c r="BA215" s="18">
        <v>0</v>
      </c>
      <c r="BB215" s="18">
        <v>0</v>
      </c>
      <c r="BD215" s="18">
        <v>0</v>
      </c>
      <c r="BE215" s="18">
        <v>0</v>
      </c>
      <c r="BG215" s="18" t="s">
        <v>5950</v>
      </c>
      <c r="BH215" s="18">
        <f>50/1000</f>
        <v>0.05</v>
      </c>
      <c r="BI215" s="18">
        <f>30/1000</f>
        <v>0.03</v>
      </c>
      <c r="BJ215" s="18">
        <v>0</v>
      </c>
      <c r="BQ215" s="18">
        <v>27</v>
      </c>
      <c r="BR215" s="18">
        <v>9</v>
      </c>
      <c r="BS215" s="18">
        <v>12</v>
      </c>
      <c r="BT215" s="18">
        <v>18</v>
      </c>
      <c r="BU215" s="18">
        <v>12</v>
      </c>
      <c r="BV215" s="18">
        <v>78</v>
      </c>
      <c r="BW215" s="15">
        <f t="shared" si="10"/>
        <v>78</v>
      </c>
      <c r="BY215" s="18" t="s">
        <v>5134</v>
      </c>
      <c r="BZ215" s="18" t="s">
        <v>5312</v>
      </c>
      <c r="CD215" s="18" t="s">
        <v>5127</v>
      </c>
      <c r="CE215" s="18" t="s">
        <v>111</v>
      </c>
      <c r="CF215" s="18" t="s">
        <v>5135</v>
      </c>
      <c r="CG215" s="18" t="s">
        <v>5193</v>
      </c>
      <c r="CH215" s="18" t="s">
        <v>5194</v>
      </c>
      <c r="CI215" s="18" t="s">
        <v>5138</v>
      </c>
      <c r="CJ215" s="18" t="s">
        <v>5196</v>
      </c>
      <c r="CK215" s="18" t="s">
        <v>179</v>
      </c>
      <c r="CL215" s="18">
        <v>1</v>
      </c>
      <c r="CM215" s="18">
        <v>0</v>
      </c>
      <c r="CN215" s="18">
        <v>0</v>
      </c>
      <c r="CO215" s="18">
        <v>0</v>
      </c>
      <c r="CP215" s="18">
        <v>0</v>
      </c>
      <c r="CQ215" s="18">
        <v>0</v>
      </c>
      <c r="CR215" s="18">
        <v>0</v>
      </c>
      <c r="CS215" s="18" t="s">
        <v>5141</v>
      </c>
      <c r="CT215" s="18">
        <v>0</v>
      </c>
      <c r="CU215" s="18">
        <v>0</v>
      </c>
      <c r="CV215" s="18">
        <v>0</v>
      </c>
      <c r="CX215" s="18">
        <v>1</v>
      </c>
      <c r="CY215" s="18">
        <v>3</v>
      </c>
      <c r="CZ215" s="18">
        <v>3</v>
      </c>
      <c r="DA215" s="18">
        <v>2</v>
      </c>
      <c r="DB215" s="18">
        <v>1</v>
      </c>
      <c r="DC215" s="18">
        <v>1</v>
      </c>
      <c r="DD215" s="18">
        <v>1</v>
      </c>
      <c r="DE215" s="18" t="s">
        <v>5141</v>
      </c>
      <c r="DF215" s="18" t="s">
        <v>5141</v>
      </c>
      <c r="DG215" s="18">
        <v>1</v>
      </c>
      <c r="DH215" s="18">
        <v>1</v>
      </c>
      <c r="DI215" s="18">
        <v>1</v>
      </c>
      <c r="DK215" s="18">
        <v>0</v>
      </c>
      <c r="DL215" s="18">
        <v>1</v>
      </c>
      <c r="DM215" s="18" t="s">
        <v>5127</v>
      </c>
      <c r="DN215" s="18" t="s">
        <v>5172</v>
      </c>
      <c r="DO215" s="18" t="s">
        <v>5488</v>
      </c>
      <c r="DP215" s="18" t="s">
        <v>106</v>
      </c>
      <c r="DQ215" s="18" t="s">
        <v>5168</v>
      </c>
      <c r="DS215" s="18">
        <v>0</v>
      </c>
      <c r="DT215" s="18">
        <v>0</v>
      </c>
      <c r="DU215" s="18">
        <v>1</v>
      </c>
      <c r="DV215" s="18" t="s">
        <v>5951</v>
      </c>
      <c r="DX215" s="18" t="s">
        <v>5145</v>
      </c>
      <c r="DY215" s="18" t="s">
        <v>106</v>
      </c>
      <c r="DZ215" s="18" t="s">
        <v>106</v>
      </c>
      <c r="EA215" s="18" t="s">
        <v>5325</v>
      </c>
      <c r="EB215" s="18">
        <v>78</v>
      </c>
      <c r="EC215" s="18" t="s">
        <v>106</v>
      </c>
      <c r="ED215" s="18" t="s">
        <v>5147</v>
      </c>
      <c r="EE215" s="18" t="s">
        <v>113</v>
      </c>
      <c r="EF215" s="18" t="s">
        <v>113</v>
      </c>
      <c r="EG215" s="18" t="s">
        <v>5148</v>
      </c>
      <c r="EH215" s="18" t="s">
        <v>5203</v>
      </c>
      <c r="EI215" s="18" t="s">
        <v>5204</v>
      </c>
      <c r="EJ215" s="18" t="s">
        <v>5245</v>
      </c>
      <c r="EK215" s="18" t="s">
        <v>113</v>
      </c>
      <c r="EM215" s="18" t="s">
        <v>5952</v>
      </c>
      <c r="EN215" s="18" t="s">
        <v>113</v>
      </c>
      <c r="EO215" s="18" t="s">
        <v>113</v>
      </c>
      <c r="EP215" s="18" t="s">
        <v>113</v>
      </c>
      <c r="EQ215" s="18" t="s">
        <v>113</v>
      </c>
      <c r="ER215" s="18" t="s">
        <v>5152</v>
      </c>
      <c r="ES215" s="18" t="s">
        <v>5153</v>
      </c>
      <c r="ET215" s="18" t="s">
        <v>5154</v>
      </c>
      <c r="EU215" s="18" t="s">
        <v>5318</v>
      </c>
      <c r="EV215" s="18" t="s">
        <v>5953</v>
      </c>
      <c r="EW215" s="18" t="s">
        <v>5320</v>
      </c>
      <c r="EX215" s="18" t="s">
        <v>5158</v>
      </c>
      <c r="EY215" s="18" t="s">
        <v>5229</v>
      </c>
      <c r="EZ215" s="18" t="s">
        <v>5160</v>
      </c>
      <c r="FA215" s="18" t="s">
        <v>144</v>
      </c>
      <c r="FB215" s="18" t="s">
        <v>5161</v>
      </c>
    </row>
    <row r="216" spans="1:158" ht="10.5" customHeight="1" x14ac:dyDescent="0.2">
      <c r="A216" s="16">
        <v>41</v>
      </c>
      <c r="B216" s="16" t="s">
        <v>1927</v>
      </c>
      <c r="C216" s="16" t="s">
        <v>1926</v>
      </c>
      <c r="D216" s="16">
        <v>4872</v>
      </c>
      <c r="E216" s="16" t="s">
        <v>6656</v>
      </c>
      <c r="F216" s="18" t="s">
        <v>1926</v>
      </c>
      <c r="G216" s="18" t="s">
        <v>106</v>
      </c>
      <c r="H216" s="15" t="s">
        <v>5127</v>
      </c>
      <c r="I216" s="18">
        <v>5</v>
      </c>
      <c r="J216" s="18">
        <v>2</v>
      </c>
      <c r="K216" s="18">
        <v>3</v>
      </c>
      <c r="L216" s="18">
        <v>0</v>
      </c>
      <c r="M216" s="18" t="s">
        <v>5121</v>
      </c>
      <c r="N216" s="18" t="s">
        <v>5954</v>
      </c>
      <c r="O216" s="18">
        <v>46640</v>
      </c>
      <c r="T216" s="18" t="s">
        <v>111</v>
      </c>
      <c r="U216" s="18" t="s">
        <v>5250</v>
      </c>
      <c r="V216" s="18" t="s">
        <v>106</v>
      </c>
      <c r="W216" s="18" t="s">
        <v>113</v>
      </c>
      <c r="Y216" s="18" t="s">
        <v>5407</v>
      </c>
      <c r="Z216" s="18" t="s">
        <v>113</v>
      </c>
      <c r="AA216" s="18" t="s">
        <v>5126</v>
      </c>
      <c r="AB216" s="18" t="s">
        <v>179</v>
      </c>
      <c r="AC216" s="18" t="s">
        <v>111</v>
      </c>
      <c r="AD216" s="18" t="s">
        <v>111</v>
      </c>
      <c r="AE216" s="18" t="s">
        <v>111</v>
      </c>
      <c r="AF216" s="18" t="s">
        <v>5127</v>
      </c>
      <c r="AG216" s="18" t="s">
        <v>5127</v>
      </c>
      <c r="AH216" s="18" t="s">
        <v>111</v>
      </c>
      <c r="AI216" s="18">
        <v>1</v>
      </c>
      <c r="AK216" s="18" t="s">
        <v>5164</v>
      </c>
      <c r="AN216" s="18">
        <v>105</v>
      </c>
      <c r="AO216" s="18" t="s">
        <v>5391</v>
      </c>
      <c r="AP216" s="18" t="s">
        <v>5456</v>
      </c>
      <c r="AQ216" s="18" t="s">
        <v>5955</v>
      </c>
      <c r="AR216" s="18" t="s">
        <v>5168</v>
      </c>
      <c r="AT216" s="17">
        <f>(365*D216*0.7)/1000</f>
        <v>1244.796</v>
      </c>
      <c r="AU216" s="17">
        <f t="shared" si="8"/>
        <v>1</v>
      </c>
      <c r="AV216" s="18">
        <v>1</v>
      </c>
      <c r="AW216" s="18">
        <v>0</v>
      </c>
      <c r="AY216" s="18" t="s">
        <v>164</v>
      </c>
      <c r="AZ216" s="18">
        <v>0</v>
      </c>
      <c r="BA216" s="18">
        <v>0</v>
      </c>
      <c r="BB216" s="18">
        <v>0</v>
      </c>
      <c r="BD216" s="18">
        <v>0</v>
      </c>
      <c r="BE216" s="18">
        <v>0</v>
      </c>
      <c r="BG216" s="18" t="s">
        <v>164</v>
      </c>
      <c r="BH216" s="18">
        <v>0</v>
      </c>
      <c r="BI216" s="18">
        <v>0</v>
      </c>
      <c r="BJ216" s="18">
        <v>0</v>
      </c>
      <c r="BQ216" s="18">
        <v>36</v>
      </c>
      <c r="BR216" s="18">
        <v>25</v>
      </c>
      <c r="BS216" s="18">
        <v>40</v>
      </c>
      <c r="BT216" s="18">
        <v>3</v>
      </c>
      <c r="BU216" s="18">
        <v>1</v>
      </c>
      <c r="BV216" s="18">
        <v>105</v>
      </c>
      <c r="BW216" s="15">
        <f t="shared" si="10"/>
        <v>105</v>
      </c>
      <c r="BY216" s="18" t="s">
        <v>5134</v>
      </c>
      <c r="BZ216" s="18" t="s">
        <v>193</v>
      </c>
      <c r="CD216" s="18" t="s">
        <v>5127</v>
      </c>
      <c r="CE216" s="18" t="s">
        <v>5127</v>
      </c>
      <c r="CF216" s="18" t="s">
        <v>5135</v>
      </c>
      <c r="CG216" s="18" t="s">
        <v>5867</v>
      </c>
      <c r="CH216" s="18" t="s">
        <v>111</v>
      </c>
      <c r="CI216" s="18" t="s">
        <v>5138</v>
      </c>
      <c r="CJ216" s="18" t="s">
        <v>5139</v>
      </c>
      <c r="CK216" s="18" t="s">
        <v>5956</v>
      </c>
      <c r="CL216" s="18">
        <v>1</v>
      </c>
      <c r="CM216" s="18">
        <v>0</v>
      </c>
      <c r="CN216" s="18">
        <v>0</v>
      </c>
      <c r="CO216" s="18">
        <v>1</v>
      </c>
      <c r="CP216" s="18">
        <v>1</v>
      </c>
      <c r="CQ216" s="18">
        <v>1</v>
      </c>
      <c r="CR216" s="18">
        <v>0</v>
      </c>
      <c r="CS216" s="18">
        <v>1</v>
      </c>
      <c r="CT216" s="18">
        <v>0</v>
      </c>
      <c r="CU216" s="18">
        <v>1</v>
      </c>
      <c r="CV216" s="18">
        <v>1</v>
      </c>
      <c r="CX216" s="18">
        <v>1</v>
      </c>
      <c r="CY216" s="18">
        <v>1</v>
      </c>
      <c r="CZ216" s="18">
        <v>1</v>
      </c>
      <c r="DA216" s="18">
        <v>1</v>
      </c>
      <c r="DB216" s="18">
        <v>1</v>
      </c>
      <c r="DC216" s="18">
        <v>1</v>
      </c>
      <c r="DD216" s="18">
        <v>1</v>
      </c>
      <c r="DE216" s="18" t="s">
        <v>5141</v>
      </c>
      <c r="DF216" s="18">
        <v>2</v>
      </c>
      <c r="DG216" s="18">
        <v>1</v>
      </c>
      <c r="DH216" s="18">
        <v>1</v>
      </c>
      <c r="DI216" s="18">
        <v>2</v>
      </c>
      <c r="DK216" s="18">
        <v>0</v>
      </c>
      <c r="DL216" s="18">
        <v>1</v>
      </c>
      <c r="DM216" s="18" t="s">
        <v>5127</v>
      </c>
      <c r="DN216" s="18" t="s">
        <v>5314</v>
      </c>
      <c r="DO216" s="18" t="s">
        <v>5957</v>
      </c>
      <c r="DP216" s="18" t="s">
        <v>113</v>
      </c>
      <c r="DQ216" s="18" t="s">
        <v>179</v>
      </c>
      <c r="DS216" s="18">
        <v>0</v>
      </c>
      <c r="DT216" s="18">
        <v>0</v>
      </c>
      <c r="DU216" s="18">
        <v>1</v>
      </c>
      <c r="DV216" s="18" t="s">
        <v>5958</v>
      </c>
      <c r="DX216" s="18" t="s">
        <v>5222</v>
      </c>
      <c r="DY216" s="18" t="s">
        <v>106</v>
      </c>
      <c r="DZ216" s="18" t="s">
        <v>106</v>
      </c>
      <c r="EA216" s="18" t="s">
        <v>5959</v>
      </c>
      <c r="EB216" s="18">
        <v>105</v>
      </c>
      <c r="EC216" s="18" t="s">
        <v>106</v>
      </c>
      <c r="ED216" s="18" t="s">
        <v>5147</v>
      </c>
      <c r="EE216" s="18" t="s">
        <v>113</v>
      </c>
      <c r="EF216" s="18" t="s">
        <v>106</v>
      </c>
      <c r="EG216" s="18" t="s">
        <v>5148</v>
      </c>
      <c r="EH216" s="18" t="s">
        <v>5149</v>
      </c>
      <c r="EI216" s="18" t="s">
        <v>5150</v>
      </c>
      <c r="EJ216" s="18" t="s">
        <v>5361</v>
      </c>
      <c r="EK216" s="18" t="s">
        <v>113</v>
      </c>
      <c r="EL216" s="18" t="s">
        <v>3115</v>
      </c>
      <c r="EN216" s="18" t="s">
        <v>113</v>
      </c>
      <c r="EO216" s="18" t="s">
        <v>106</v>
      </c>
      <c r="EP216" s="18" t="s">
        <v>113</v>
      </c>
      <c r="EQ216" s="18" t="s">
        <v>113</v>
      </c>
      <c r="ER216" s="18" t="s">
        <v>5155</v>
      </c>
      <c r="ES216" s="18" t="s">
        <v>5960</v>
      </c>
      <c r="ET216" s="18" t="s">
        <v>5154</v>
      </c>
      <c r="EU216" s="18" t="s">
        <v>5328</v>
      </c>
      <c r="EV216" s="18" t="s">
        <v>5961</v>
      </c>
      <c r="EW216" s="18" t="s">
        <v>5669</v>
      </c>
      <c r="EX216" s="18" t="s">
        <v>5962</v>
      </c>
      <c r="EY216" s="18" t="s">
        <v>5347</v>
      </c>
      <c r="EZ216" s="18" t="s">
        <v>5963</v>
      </c>
      <c r="FA216" s="18" t="s">
        <v>144</v>
      </c>
      <c r="FB216" s="18" t="s">
        <v>5161</v>
      </c>
    </row>
    <row r="217" spans="1:158" ht="10.5" customHeight="1" x14ac:dyDescent="0.2">
      <c r="A217" s="16">
        <v>41</v>
      </c>
      <c r="B217" s="16" t="s">
        <v>1941</v>
      </c>
      <c r="C217" s="16" t="s">
        <v>1940</v>
      </c>
      <c r="D217" s="16">
        <v>29440</v>
      </c>
      <c r="E217" s="16" t="s">
        <v>6658</v>
      </c>
      <c r="F217" s="18" t="s">
        <v>1940</v>
      </c>
      <c r="G217" s="18" t="s">
        <v>106</v>
      </c>
      <c r="H217" s="15" t="s">
        <v>5127</v>
      </c>
      <c r="I217" s="18">
        <v>18</v>
      </c>
      <c r="J217" s="18">
        <v>10</v>
      </c>
      <c r="K217" s="18">
        <v>8</v>
      </c>
      <c r="L217" s="18">
        <v>0</v>
      </c>
      <c r="M217" s="18" t="s">
        <v>5183</v>
      </c>
      <c r="N217" s="18" t="s">
        <v>5964</v>
      </c>
      <c r="O217" s="18">
        <v>46119</v>
      </c>
      <c r="T217" s="18" t="s">
        <v>111</v>
      </c>
      <c r="U217" s="18" t="s">
        <v>5250</v>
      </c>
      <c r="V217" s="18" t="s">
        <v>106</v>
      </c>
      <c r="W217" s="18" t="s">
        <v>5211</v>
      </c>
      <c r="Y217" s="18" t="s">
        <v>5162</v>
      </c>
      <c r="Z217" s="18" t="s">
        <v>106</v>
      </c>
      <c r="AA217" s="18" t="s">
        <v>5163</v>
      </c>
      <c r="AB217" s="18" t="s">
        <v>179</v>
      </c>
      <c r="AC217" s="18" t="s">
        <v>5127</v>
      </c>
      <c r="AD217" s="18" t="s">
        <v>5127</v>
      </c>
      <c r="AE217" s="18" t="s">
        <v>5127</v>
      </c>
      <c r="AF217" s="18" t="s">
        <v>5127</v>
      </c>
      <c r="AG217" s="18" t="s">
        <v>5127</v>
      </c>
      <c r="AH217" s="18" t="s">
        <v>111</v>
      </c>
      <c r="AI217" s="18">
        <v>1</v>
      </c>
      <c r="AK217" s="18" t="s">
        <v>5164</v>
      </c>
      <c r="AN217" s="18">
        <v>0</v>
      </c>
      <c r="AO217" s="18" t="s">
        <v>5186</v>
      </c>
      <c r="AP217" s="18" t="s">
        <v>5965</v>
      </c>
      <c r="AQ217" s="18" t="s">
        <v>164</v>
      </c>
      <c r="AR217" s="18" t="s">
        <v>179</v>
      </c>
      <c r="AT217" s="17">
        <f>(365*D217*0.7)/1000</f>
        <v>7521.9199999999992</v>
      </c>
      <c r="AU217" s="17">
        <f t="shared" si="8"/>
        <v>0</v>
      </c>
      <c r="AV217" s="18">
        <v>0</v>
      </c>
      <c r="AW217" s="18">
        <v>0</v>
      </c>
      <c r="AY217" s="18" t="s">
        <v>5334</v>
      </c>
      <c r="AZ217" s="18">
        <v>0</v>
      </c>
      <c r="BA217" s="18">
        <v>0</v>
      </c>
      <c r="BB217" s="18">
        <v>0</v>
      </c>
      <c r="BD217" s="18">
        <v>0</v>
      </c>
      <c r="BE217" s="18">
        <v>0</v>
      </c>
      <c r="BG217" s="18" t="s">
        <v>5815</v>
      </c>
      <c r="BH217" s="18">
        <v>0</v>
      </c>
      <c r="BI217" s="18">
        <v>0</v>
      </c>
      <c r="BJ217" s="18">
        <v>0</v>
      </c>
      <c r="BQ217" s="18">
        <v>0</v>
      </c>
      <c r="BR217" s="18">
        <v>0</v>
      </c>
      <c r="BS217" s="18">
        <v>0</v>
      </c>
      <c r="BT217" s="18">
        <v>0</v>
      </c>
      <c r="BU217" s="18">
        <v>0</v>
      </c>
      <c r="BV217" s="18">
        <v>0</v>
      </c>
      <c r="BW217" s="15">
        <f t="shared" si="10"/>
        <v>0</v>
      </c>
      <c r="BY217" s="18" t="s">
        <v>5134</v>
      </c>
      <c r="BZ217" s="18" t="s">
        <v>5240</v>
      </c>
      <c r="CD217" s="18" t="s">
        <v>5127</v>
      </c>
      <c r="CE217" s="18" t="s">
        <v>5127</v>
      </c>
      <c r="CF217" s="18" t="s">
        <v>5135</v>
      </c>
      <c r="CG217" s="18" t="s">
        <v>5804</v>
      </c>
      <c r="CH217" s="18" t="s">
        <v>5284</v>
      </c>
      <c r="CI217" s="18" t="s">
        <v>5138</v>
      </c>
      <c r="CJ217" s="18" t="s">
        <v>5139</v>
      </c>
      <c r="CK217" s="18" t="s">
        <v>179</v>
      </c>
      <c r="CL217" s="18">
        <v>1</v>
      </c>
      <c r="CM217" s="18">
        <v>1</v>
      </c>
      <c r="CN217" s="18">
        <v>0</v>
      </c>
      <c r="CO217" s="18">
        <v>1</v>
      </c>
      <c r="CP217" s="18">
        <v>1</v>
      </c>
      <c r="CQ217" s="18">
        <v>1</v>
      </c>
      <c r="CR217" s="18">
        <v>0</v>
      </c>
      <c r="CS217" s="18" t="s">
        <v>5141</v>
      </c>
      <c r="CT217" s="18">
        <v>1</v>
      </c>
      <c r="CU217" s="18">
        <v>0</v>
      </c>
      <c r="CV217" s="18">
        <v>1</v>
      </c>
      <c r="CX217" s="18">
        <v>0</v>
      </c>
      <c r="CY217" s="18">
        <v>0</v>
      </c>
      <c r="CZ217" s="18">
        <v>0</v>
      </c>
      <c r="DA217" s="18">
        <v>1</v>
      </c>
      <c r="DB217" s="18">
        <v>0</v>
      </c>
      <c r="DC217" s="18">
        <v>0</v>
      </c>
      <c r="DD217" s="18">
        <v>0</v>
      </c>
      <c r="DE217" s="18">
        <v>1</v>
      </c>
      <c r="DF217" s="18">
        <v>0</v>
      </c>
      <c r="DG217" s="18">
        <v>0</v>
      </c>
      <c r="DH217" s="18" t="s">
        <v>5966</v>
      </c>
      <c r="DI217" s="18">
        <v>1</v>
      </c>
      <c r="DK217" s="18">
        <v>0</v>
      </c>
      <c r="DL217" s="18">
        <v>1</v>
      </c>
      <c r="DM217" s="18" t="s">
        <v>5127</v>
      </c>
      <c r="DN217" s="18" t="s">
        <v>5258</v>
      </c>
      <c r="DO217" s="18" t="s">
        <v>5665</v>
      </c>
      <c r="DP217" s="18" t="s">
        <v>106</v>
      </c>
      <c r="DQ217" s="18" t="s">
        <v>179</v>
      </c>
      <c r="DS217" s="18">
        <v>0</v>
      </c>
      <c r="DT217" s="18">
        <v>1</v>
      </c>
      <c r="DU217" s="18">
        <v>2</v>
      </c>
      <c r="DV217" s="18" t="s">
        <v>5174</v>
      </c>
      <c r="DX217" s="18" t="s">
        <v>5201</v>
      </c>
      <c r="DY217" s="18" t="s">
        <v>106</v>
      </c>
      <c r="DZ217" s="18" t="s">
        <v>113</v>
      </c>
      <c r="EA217" s="18" t="s">
        <v>5285</v>
      </c>
      <c r="EB217" s="18">
        <v>0</v>
      </c>
      <c r="EC217" s="18" t="s">
        <v>106</v>
      </c>
      <c r="ED217" s="18" t="s">
        <v>5147</v>
      </c>
      <c r="EE217" s="18" t="s">
        <v>106</v>
      </c>
      <c r="EF217" s="18" t="s">
        <v>113</v>
      </c>
      <c r="EG217" s="18" t="s">
        <v>5148</v>
      </c>
      <c r="EH217" s="18" t="s">
        <v>5203</v>
      </c>
      <c r="EI217" s="18" t="s">
        <v>5150</v>
      </c>
      <c r="EJ217" s="18" t="s">
        <v>5151</v>
      </c>
      <c r="EK217" s="18" t="s">
        <v>113</v>
      </c>
      <c r="EL217" s="18" t="s">
        <v>2555</v>
      </c>
      <c r="EM217" s="18" t="s">
        <v>5227</v>
      </c>
      <c r="EN217" s="18" t="s">
        <v>113</v>
      </c>
      <c r="EO217" s="18" t="s">
        <v>106</v>
      </c>
      <c r="EP217" s="18" t="s">
        <v>113</v>
      </c>
      <c r="EQ217" s="18" t="s">
        <v>113</v>
      </c>
      <c r="ER217" s="18" t="s">
        <v>5206</v>
      </c>
      <c r="ES217" s="18" t="s">
        <v>5153</v>
      </c>
      <c r="ET217" s="18" t="s">
        <v>5154</v>
      </c>
      <c r="EU217" s="18" t="s">
        <v>5155</v>
      </c>
      <c r="EV217" s="18" t="s">
        <v>5967</v>
      </c>
      <c r="EW217" s="18" t="s">
        <v>5208</v>
      </c>
      <c r="EX217" s="18" t="s">
        <v>5158</v>
      </c>
      <c r="EY217" s="18" t="s">
        <v>5229</v>
      </c>
      <c r="EZ217" s="18" t="s">
        <v>5160</v>
      </c>
      <c r="FA217" s="18" t="s">
        <v>144</v>
      </c>
      <c r="FB217" s="18" t="s">
        <v>5161</v>
      </c>
    </row>
    <row r="218" spans="1:158" ht="10.5" customHeight="1" x14ac:dyDescent="0.2">
      <c r="A218" s="16">
        <v>41</v>
      </c>
      <c r="B218" s="16" t="s">
        <v>1958</v>
      </c>
      <c r="C218" s="16" t="s">
        <v>1957</v>
      </c>
      <c r="D218" s="16">
        <v>6327</v>
      </c>
      <c r="E218" s="16" t="s">
        <v>6656</v>
      </c>
      <c r="F218" s="18" t="s">
        <v>1957</v>
      </c>
      <c r="G218" s="18" t="s">
        <v>106</v>
      </c>
      <c r="H218" s="15" t="s">
        <v>5127</v>
      </c>
      <c r="I218" s="18">
        <v>10</v>
      </c>
      <c r="J218" s="18">
        <v>5</v>
      </c>
      <c r="K218" s="18">
        <v>5</v>
      </c>
      <c r="L218" s="18">
        <v>0</v>
      </c>
      <c r="M218" s="18" t="s">
        <v>5183</v>
      </c>
      <c r="N218" s="18" t="s">
        <v>5968</v>
      </c>
      <c r="O218" s="18">
        <v>46228</v>
      </c>
      <c r="T218" s="18" t="s">
        <v>5532</v>
      </c>
      <c r="U218" s="18" t="s">
        <v>5123</v>
      </c>
      <c r="V218" s="18" t="s">
        <v>106</v>
      </c>
      <c r="W218" s="18" t="s">
        <v>5211</v>
      </c>
      <c r="Y218" s="18" t="s">
        <v>5162</v>
      </c>
      <c r="Z218" s="18" t="s">
        <v>113</v>
      </c>
      <c r="AA218" s="18" t="s">
        <v>5163</v>
      </c>
      <c r="AB218" s="18" t="s">
        <v>179</v>
      </c>
      <c r="AC218" s="18" t="s">
        <v>111</v>
      </c>
      <c r="AD218" s="18" t="s">
        <v>111</v>
      </c>
      <c r="AE218" s="18" t="s">
        <v>111</v>
      </c>
      <c r="AF218" s="18" t="s">
        <v>5127</v>
      </c>
      <c r="AG218" s="18" t="s">
        <v>111</v>
      </c>
      <c r="AH218" s="18" t="s">
        <v>111</v>
      </c>
      <c r="AI218" s="18">
        <v>1</v>
      </c>
      <c r="AK218" s="18" t="s">
        <v>5164</v>
      </c>
      <c r="AN218" s="18">
        <v>0</v>
      </c>
      <c r="AO218" s="18" t="s">
        <v>5186</v>
      </c>
      <c r="AP218" s="18" t="s">
        <v>5969</v>
      </c>
      <c r="AQ218" s="18" t="s">
        <v>5311</v>
      </c>
      <c r="AR218" s="18" t="s">
        <v>5168</v>
      </c>
      <c r="AT218" s="17">
        <f>(365*D218*0.7)/1000</f>
        <v>1616.5485000000001</v>
      </c>
      <c r="AU218" s="17">
        <f t="shared" si="8"/>
        <v>4800</v>
      </c>
      <c r="AV218" s="18">
        <f>4800000/1000</f>
        <v>4800</v>
      </c>
      <c r="AW218" s="18">
        <v>0</v>
      </c>
      <c r="AY218" s="18" t="s">
        <v>164</v>
      </c>
      <c r="AZ218" s="18">
        <v>0</v>
      </c>
      <c r="BA218" s="18">
        <v>0</v>
      </c>
      <c r="BB218" s="18">
        <v>300</v>
      </c>
      <c r="BD218" s="18">
        <v>0</v>
      </c>
      <c r="BE218" s="18">
        <v>1000</v>
      </c>
      <c r="BG218" s="18" t="s">
        <v>5281</v>
      </c>
      <c r="BH218" s="18">
        <v>0</v>
      </c>
      <c r="BI218" s="18">
        <v>0</v>
      </c>
      <c r="BJ218" s="18">
        <v>0</v>
      </c>
      <c r="BQ218" s="18">
        <f>7426000/1000000</f>
        <v>7.4260000000000002</v>
      </c>
      <c r="BR218" s="18">
        <f>3840000/1000000</f>
        <v>3.84</v>
      </c>
      <c r="BS218" s="18">
        <f>2336000/1000000</f>
        <v>2.3359999999999999</v>
      </c>
      <c r="BT218" s="18">
        <f>1250000/1000000</f>
        <v>1.25</v>
      </c>
      <c r="BU218" s="18">
        <f>220000/1000000</f>
        <v>0.22</v>
      </c>
      <c r="BV218" s="18">
        <f>SUM(BQ218:BU218)</f>
        <v>15.072000000000001</v>
      </c>
      <c r="BW218" s="15">
        <f t="shared" si="10"/>
        <v>15.072000000000001</v>
      </c>
      <c r="BY218" s="18" t="s">
        <v>5134</v>
      </c>
      <c r="BZ218" s="18" t="s">
        <v>193</v>
      </c>
      <c r="CD218" s="18" t="s">
        <v>111</v>
      </c>
      <c r="CE218" s="18" t="s">
        <v>111</v>
      </c>
      <c r="CF218" s="18" t="s">
        <v>5135</v>
      </c>
      <c r="CG218" s="18" t="s">
        <v>5193</v>
      </c>
      <c r="CH218" s="18" t="s">
        <v>5194</v>
      </c>
      <c r="CI218" s="18" t="s">
        <v>5138</v>
      </c>
      <c r="CJ218" s="18" t="s">
        <v>5196</v>
      </c>
      <c r="CK218" s="18" t="s">
        <v>5171</v>
      </c>
      <c r="CL218" s="18">
        <v>2</v>
      </c>
      <c r="CM218" s="18">
        <v>0</v>
      </c>
      <c r="CN218" s="18">
        <v>0</v>
      </c>
      <c r="CO218" s="18">
        <v>2</v>
      </c>
      <c r="CP218" s="18">
        <v>1</v>
      </c>
      <c r="CQ218" s="18">
        <v>1</v>
      </c>
      <c r="CR218" s="18">
        <v>0</v>
      </c>
      <c r="CS218" s="18">
        <v>1</v>
      </c>
      <c r="CT218" s="18">
        <v>0</v>
      </c>
      <c r="CU218" s="18">
        <v>0</v>
      </c>
      <c r="CV218" s="18">
        <v>1</v>
      </c>
      <c r="CX218" s="18">
        <v>1</v>
      </c>
      <c r="CY218" s="18">
        <v>2</v>
      </c>
      <c r="CZ218" s="18">
        <v>0</v>
      </c>
      <c r="DA218" s="18">
        <v>0</v>
      </c>
      <c r="DB218" s="18">
        <v>2</v>
      </c>
      <c r="DC218" s="18">
        <v>1</v>
      </c>
      <c r="DD218" s="18">
        <v>1</v>
      </c>
      <c r="DE218" s="18">
        <v>0</v>
      </c>
      <c r="DF218" s="18" t="s">
        <v>5141</v>
      </c>
      <c r="DG218" s="18">
        <v>1</v>
      </c>
      <c r="DH218" s="18">
        <v>0</v>
      </c>
      <c r="DI218" s="18">
        <v>1</v>
      </c>
      <c r="DK218" s="18">
        <v>0</v>
      </c>
      <c r="DL218" s="18">
        <v>0</v>
      </c>
      <c r="DM218" s="18" t="s">
        <v>111</v>
      </c>
      <c r="DN218" s="18" t="s">
        <v>5258</v>
      </c>
      <c r="DO218" s="18" t="s">
        <v>5199</v>
      </c>
      <c r="DP218" s="18" t="s">
        <v>113</v>
      </c>
      <c r="DQ218" s="18" t="s">
        <v>5168</v>
      </c>
      <c r="DS218" s="18">
        <v>0</v>
      </c>
      <c r="DT218" s="18">
        <v>1</v>
      </c>
      <c r="DU218" s="18">
        <v>1</v>
      </c>
      <c r="DV218" s="18" t="s">
        <v>5272</v>
      </c>
      <c r="DX218" s="18" t="s">
        <v>5201</v>
      </c>
      <c r="DY218" s="18" t="s">
        <v>106</v>
      </c>
      <c r="DZ218" s="18" t="s">
        <v>113</v>
      </c>
      <c r="EA218" s="18" t="s">
        <v>5202</v>
      </c>
      <c r="EB218" s="18">
        <v>15257000</v>
      </c>
      <c r="EC218" s="18" t="s">
        <v>106</v>
      </c>
      <c r="ED218" s="18" t="s">
        <v>5176</v>
      </c>
      <c r="EE218" s="18" t="s">
        <v>106</v>
      </c>
      <c r="EF218" s="18" t="s">
        <v>113</v>
      </c>
      <c r="EG218" s="18" t="s">
        <v>5970</v>
      </c>
      <c r="EH218" s="18" t="s">
        <v>5203</v>
      </c>
      <c r="EI218" s="18" t="s">
        <v>5204</v>
      </c>
      <c r="EJ218" s="18" t="s">
        <v>5468</v>
      </c>
      <c r="EK218" s="18" t="s">
        <v>113</v>
      </c>
      <c r="EL218" s="18" t="s">
        <v>5971</v>
      </c>
      <c r="EN218" s="18" t="s">
        <v>113</v>
      </c>
      <c r="EO218" s="18" t="s">
        <v>113</v>
      </c>
      <c r="EP218" s="18" t="s">
        <v>113</v>
      </c>
      <c r="EQ218" s="18" t="s">
        <v>113</v>
      </c>
      <c r="ER218" s="18" t="s">
        <v>5152</v>
      </c>
      <c r="ES218" s="18" t="s">
        <v>5153</v>
      </c>
      <c r="ET218" s="18" t="s">
        <v>5154</v>
      </c>
      <c r="EU218" s="18" t="s">
        <v>5155</v>
      </c>
      <c r="EV218" s="18" t="s">
        <v>5647</v>
      </c>
      <c r="EW218" s="18" t="s">
        <v>5972</v>
      </c>
      <c r="EX218" s="18" t="s">
        <v>5158</v>
      </c>
      <c r="EY218" s="18" t="s">
        <v>5522</v>
      </c>
      <c r="EZ218" s="18" t="s">
        <v>5160</v>
      </c>
      <c r="FA218" s="18" t="s">
        <v>144</v>
      </c>
      <c r="FB218" s="18" t="s">
        <v>5161</v>
      </c>
    </row>
    <row r="219" spans="1:158" ht="10.5" customHeight="1" x14ac:dyDescent="0.2">
      <c r="A219" s="16">
        <v>41</v>
      </c>
      <c r="B219" s="16" t="s">
        <v>1974</v>
      </c>
      <c r="C219" s="16" t="s">
        <v>1973</v>
      </c>
      <c r="D219" s="16">
        <v>53054</v>
      </c>
      <c r="E219" s="16" t="s">
        <v>6658</v>
      </c>
      <c r="F219" s="18" t="s">
        <v>1973</v>
      </c>
      <c r="G219" s="18" t="s">
        <v>113</v>
      </c>
      <c r="H219" s="15" t="s">
        <v>111</v>
      </c>
      <c r="AT219" s="17">
        <f>(365*D219*0.7)/1000</f>
        <v>13555.297</v>
      </c>
      <c r="AU219" s="17">
        <f t="shared" si="8"/>
        <v>0</v>
      </c>
      <c r="BW219" s="15">
        <f t="shared" si="10"/>
        <v>0</v>
      </c>
    </row>
    <row r="220" spans="1:158" ht="10.5" customHeight="1" x14ac:dyDescent="0.2">
      <c r="A220" s="16">
        <v>41</v>
      </c>
      <c r="B220" s="16" t="s">
        <v>2593</v>
      </c>
      <c r="C220" s="16" t="s">
        <v>2594</v>
      </c>
      <c r="D220" s="16">
        <v>9139</v>
      </c>
      <c r="E220" s="16" t="s">
        <v>6656</v>
      </c>
      <c r="H220" s="15" t="s">
        <v>6661</v>
      </c>
      <c r="AT220" s="17">
        <f>(365*D220*0.7)/1000</f>
        <v>2335.0145000000002</v>
      </c>
      <c r="AU220" s="17">
        <f t="shared" si="8"/>
        <v>0</v>
      </c>
      <c r="BW220" s="15">
        <f t="shared" si="10"/>
        <v>0</v>
      </c>
    </row>
    <row r="221" spans="1:158" ht="10.5" customHeight="1" x14ac:dyDescent="0.2">
      <c r="A221" s="16">
        <v>41</v>
      </c>
      <c r="B221" s="16" t="s">
        <v>1999</v>
      </c>
      <c r="C221" s="16" t="s">
        <v>1998</v>
      </c>
      <c r="D221" s="16">
        <v>5599</v>
      </c>
      <c r="E221" s="16" t="s">
        <v>6656</v>
      </c>
      <c r="F221" s="18" t="s">
        <v>1998</v>
      </c>
      <c r="G221" s="18" t="s">
        <v>106</v>
      </c>
      <c r="H221" s="15" t="s">
        <v>5127</v>
      </c>
      <c r="I221" s="18">
        <v>8</v>
      </c>
      <c r="J221" s="18">
        <v>4</v>
      </c>
      <c r="K221" s="18">
        <v>4</v>
      </c>
      <c r="L221" s="18">
        <v>0</v>
      </c>
      <c r="M221" s="18" t="s">
        <v>5183</v>
      </c>
      <c r="N221" s="18" t="s">
        <v>5973</v>
      </c>
      <c r="O221" s="18">
        <v>46551</v>
      </c>
      <c r="T221" s="18" t="s">
        <v>111</v>
      </c>
      <c r="U221" s="18" t="s">
        <v>5123</v>
      </c>
      <c r="V221" s="18" t="s">
        <v>106</v>
      </c>
      <c r="W221" s="18" t="s">
        <v>5124</v>
      </c>
      <c r="Y221" s="18" t="s">
        <v>5125</v>
      </c>
      <c r="Z221" s="18" t="s">
        <v>106</v>
      </c>
      <c r="AA221" s="18" t="s">
        <v>5163</v>
      </c>
      <c r="AB221" s="18" t="s">
        <v>5233</v>
      </c>
      <c r="AC221" s="18" t="s">
        <v>5127</v>
      </c>
      <c r="AD221" s="18" t="s">
        <v>5127</v>
      </c>
      <c r="AE221" s="18" t="s">
        <v>111</v>
      </c>
      <c r="AF221" s="18" t="s">
        <v>111</v>
      </c>
      <c r="AG221" s="18" t="s">
        <v>5127</v>
      </c>
      <c r="AH221" s="18" t="s">
        <v>111</v>
      </c>
      <c r="AI221" s="18">
        <v>0</v>
      </c>
      <c r="AK221" s="18" t="s">
        <v>5164</v>
      </c>
      <c r="AN221" s="18">
        <v>208</v>
      </c>
      <c r="AO221" s="18" t="s">
        <v>5391</v>
      </c>
      <c r="AP221" s="18" t="s">
        <v>5456</v>
      </c>
      <c r="AQ221" s="18" t="s">
        <v>5547</v>
      </c>
      <c r="AR221" s="18" t="s">
        <v>179</v>
      </c>
      <c r="AT221" s="17">
        <f>(365*D221*0.7)/1000</f>
        <v>1430.5445</v>
      </c>
      <c r="AU221" s="17">
        <f t="shared" si="8"/>
        <v>72</v>
      </c>
      <c r="AV221" s="18">
        <v>72</v>
      </c>
      <c r="AW221" s="18">
        <v>0</v>
      </c>
      <c r="AY221" s="18" t="s">
        <v>5974</v>
      </c>
      <c r="BG221" s="18" t="s">
        <v>164</v>
      </c>
      <c r="BQ221" s="18">
        <v>47</v>
      </c>
      <c r="BR221" s="18">
        <v>30</v>
      </c>
      <c r="BS221" s="18">
        <v>15</v>
      </c>
      <c r="BT221" s="18">
        <v>5</v>
      </c>
      <c r="BU221" s="18">
        <v>3</v>
      </c>
      <c r="BV221" s="18">
        <f>SUM(BQ221:BU221)</f>
        <v>100</v>
      </c>
      <c r="BW221" s="15">
        <f t="shared" si="10"/>
        <v>100</v>
      </c>
      <c r="BY221" s="18" t="s">
        <v>5134</v>
      </c>
      <c r="BZ221" s="18" t="s">
        <v>5270</v>
      </c>
      <c r="CD221" s="18" t="s">
        <v>5127</v>
      </c>
      <c r="CE221" s="18" t="s">
        <v>5127</v>
      </c>
      <c r="CF221" s="18" t="s">
        <v>5282</v>
      </c>
      <c r="CG221" s="18" t="s">
        <v>5427</v>
      </c>
      <c r="CH221" s="18" t="s">
        <v>5504</v>
      </c>
      <c r="CI221" s="18" t="s">
        <v>111</v>
      </c>
      <c r="CJ221" s="18" t="s">
        <v>5196</v>
      </c>
      <c r="CK221" s="18" t="s">
        <v>5197</v>
      </c>
      <c r="CL221" s="18">
        <v>3</v>
      </c>
      <c r="CM221" s="18">
        <v>0</v>
      </c>
      <c r="CN221" s="18">
        <v>0</v>
      </c>
      <c r="CO221" s="18">
        <v>2</v>
      </c>
      <c r="CP221" s="18">
        <v>1</v>
      </c>
      <c r="CQ221" s="18">
        <v>1</v>
      </c>
      <c r="CR221" s="18">
        <v>2</v>
      </c>
      <c r="CS221" s="18">
        <v>1</v>
      </c>
      <c r="CT221" s="18">
        <v>0</v>
      </c>
      <c r="CU221" s="18">
        <v>0</v>
      </c>
      <c r="CV221" s="18" t="s">
        <v>5141</v>
      </c>
      <c r="CX221" s="18">
        <v>2</v>
      </c>
      <c r="CY221" s="18">
        <v>0</v>
      </c>
      <c r="CZ221" s="18">
        <v>1</v>
      </c>
      <c r="DA221" s="18">
        <v>1</v>
      </c>
      <c r="DB221" s="18">
        <v>0</v>
      </c>
      <c r="DC221" s="18">
        <v>1</v>
      </c>
      <c r="DD221" s="18">
        <v>0</v>
      </c>
      <c r="DE221" s="18" t="s">
        <v>5141</v>
      </c>
      <c r="DF221" s="18" t="s">
        <v>5141</v>
      </c>
      <c r="DG221" s="18">
        <v>2</v>
      </c>
      <c r="DH221" s="18">
        <v>2</v>
      </c>
      <c r="DI221" s="18">
        <v>1</v>
      </c>
      <c r="DK221" s="18">
        <v>0</v>
      </c>
      <c r="DL221" s="18">
        <v>0</v>
      </c>
      <c r="DM221" s="18" t="s">
        <v>5127</v>
      </c>
      <c r="DN221" s="18" t="s">
        <v>5172</v>
      </c>
      <c r="DO221" s="18" t="s">
        <v>5143</v>
      </c>
      <c r="DP221" s="18" t="s">
        <v>113</v>
      </c>
      <c r="DQ221" s="18" t="s">
        <v>179</v>
      </c>
      <c r="DS221" s="18">
        <v>0</v>
      </c>
      <c r="DT221" s="18">
        <v>1</v>
      </c>
      <c r="DU221" s="18">
        <v>2</v>
      </c>
      <c r="DV221" s="18" t="s">
        <v>5342</v>
      </c>
      <c r="DX221" s="18" t="s">
        <v>5222</v>
      </c>
      <c r="DY221" s="18" t="s">
        <v>106</v>
      </c>
      <c r="DZ221" s="18" t="s">
        <v>113</v>
      </c>
      <c r="EA221" s="18" t="s">
        <v>5261</v>
      </c>
      <c r="EB221" s="18">
        <v>136</v>
      </c>
      <c r="EC221" s="18" t="s">
        <v>106</v>
      </c>
      <c r="ED221" s="18" t="s">
        <v>5176</v>
      </c>
      <c r="EE221" s="18" t="s">
        <v>113</v>
      </c>
      <c r="EF221" s="18" t="s">
        <v>113</v>
      </c>
      <c r="EG221" s="18" t="s">
        <v>5148</v>
      </c>
      <c r="EH221" s="18" t="s">
        <v>5203</v>
      </c>
      <c r="EI221" s="18" t="s">
        <v>5204</v>
      </c>
      <c r="EJ221" s="18" t="s">
        <v>5304</v>
      </c>
      <c r="EK221" s="18" t="s">
        <v>113</v>
      </c>
      <c r="EM221" s="18" t="s">
        <v>5227</v>
      </c>
      <c r="EN221" s="18" t="s">
        <v>113</v>
      </c>
      <c r="EO221" s="18" t="s">
        <v>113</v>
      </c>
      <c r="EP221" s="18" t="s">
        <v>113</v>
      </c>
      <c r="EQ221" s="18" t="s">
        <v>113</v>
      </c>
      <c r="ER221" s="18" t="s">
        <v>5152</v>
      </c>
      <c r="ES221" s="18" t="s">
        <v>5153</v>
      </c>
      <c r="ET221" s="18" t="s">
        <v>5154</v>
      </c>
      <c r="EU221" s="18" t="s">
        <v>5318</v>
      </c>
      <c r="EV221" s="18" t="s">
        <v>5345</v>
      </c>
      <c r="EW221" s="18" t="s">
        <v>5975</v>
      </c>
      <c r="EX221" s="18" t="s">
        <v>5158</v>
      </c>
      <c r="EY221" s="18" t="s">
        <v>5597</v>
      </c>
      <c r="EZ221" s="18" t="s">
        <v>5160</v>
      </c>
      <c r="FA221" s="18" t="s">
        <v>144</v>
      </c>
      <c r="FB221" s="18" t="s">
        <v>5161</v>
      </c>
    </row>
    <row r="222" spans="1:158" ht="10.5" customHeight="1" x14ac:dyDescent="0.2">
      <c r="A222" s="16">
        <v>41</v>
      </c>
      <c r="B222" s="16" t="s">
        <v>2019</v>
      </c>
      <c r="C222" s="16" t="s">
        <v>2018</v>
      </c>
      <c r="D222" s="16">
        <v>2162</v>
      </c>
      <c r="E222" s="16" t="s">
        <v>6656</v>
      </c>
      <c r="F222" s="18" t="s">
        <v>2018</v>
      </c>
      <c r="G222" s="18" t="s">
        <v>106</v>
      </c>
      <c r="H222" s="15" t="s">
        <v>5127</v>
      </c>
      <c r="I222" s="18">
        <v>16</v>
      </c>
      <c r="J222" s="18">
        <v>11</v>
      </c>
      <c r="K222" s="18">
        <v>5</v>
      </c>
      <c r="L222" s="18">
        <v>0</v>
      </c>
      <c r="M222" s="18" t="s">
        <v>5183</v>
      </c>
      <c r="N222" s="18" t="s">
        <v>5976</v>
      </c>
      <c r="O222" s="18">
        <v>46779</v>
      </c>
      <c r="T222" s="18" t="s">
        <v>111</v>
      </c>
      <c r="U222" s="18" t="s">
        <v>5123</v>
      </c>
      <c r="V222" s="18" t="s">
        <v>106</v>
      </c>
      <c r="W222" s="18" t="s">
        <v>5211</v>
      </c>
      <c r="Y222" s="18" t="s">
        <v>5232</v>
      </c>
      <c r="Z222" s="18" t="s">
        <v>106</v>
      </c>
      <c r="AA222" s="18" t="s">
        <v>5163</v>
      </c>
      <c r="AB222" s="18" t="s">
        <v>179</v>
      </c>
      <c r="AC222" s="18" t="s">
        <v>5127</v>
      </c>
      <c r="AD222" s="18" t="s">
        <v>5127</v>
      </c>
      <c r="AE222" s="18" t="s">
        <v>5127</v>
      </c>
      <c r="AF222" s="18" t="s">
        <v>5127</v>
      </c>
      <c r="AG222" s="18" t="s">
        <v>5127</v>
      </c>
      <c r="AH222" s="18" t="s">
        <v>5127</v>
      </c>
      <c r="AI222" s="18">
        <v>1</v>
      </c>
      <c r="AK222" s="18" t="s">
        <v>5164</v>
      </c>
      <c r="AN222" s="18">
        <v>0</v>
      </c>
      <c r="AO222" s="18" t="s">
        <v>5165</v>
      </c>
      <c r="AP222" s="18" t="s">
        <v>5977</v>
      </c>
      <c r="AQ222" s="18" t="s">
        <v>5216</v>
      </c>
      <c r="AR222" s="18" t="s">
        <v>5168</v>
      </c>
      <c r="AT222" s="17">
        <f>(365*D222*0.7)/1000</f>
        <v>552.39099999999996</v>
      </c>
      <c r="AU222" s="17">
        <f t="shared" si="8"/>
        <v>0</v>
      </c>
      <c r="AV222" s="18">
        <v>0</v>
      </c>
      <c r="AW222" s="18">
        <v>0</v>
      </c>
      <c r="AY222" s="18" t="s">
        <v>164</v>
      </c>
      <c r="AZ222" s="18">
        <v>0</v>
      </c>
      <c r="BA222" s="18">
        <v>0</v>
      </c>
      <c r="BB222" s="18">
        <v>0</v>
      </c>
      <c r="BD222" s="18">
        <v>0</v>
      </c>
      <c r="BE222" s="18">
        <v>0</v>
      </c>
      <c r="BG222" s="18" t="s">
        <v>164</v>
      </c>
      <c r="BH222" s="18">
        <v>0</v>
      </c>
      <c r="BI222" s="18">
        <v>0</v>
      </c>
      <c r="BJ222" s="18">
        <v>0</v>
      </c>
      <c r="BQ222" s="18">
        <v>42</v>
      </c>
      <c r="BR222" s="18">
        <v>33</v>
      </c>
      <c r="BS222" s="18">
        <v>9</v>
      </c>
      <c r="BT222" s="18">
        <v>3</v>
      </c>
      <c r="BU222" s="18">
        <v>0</v>
      </c>
      <c r="BV222" s="18">
        <f>SUM(BQ222:BU222)</f>
        <v>87</v>
      </c>
      <c r="BW222" s="15">
        <f t="shared" si="10"/>
        <v>87</v>
      </c>
      <c r="BY222" s="18" t="s">
        <v>5134</v>
      </c>
      <c r="BZ222" s="18" t="s">
        <v>5395</v>
      </c>
      <c r="CD222" s="18" t="s">
        <v>5127</v>
      </c>
      <c r="CE222" s="18" t="s">
        <v>5127</v>
      </c>
      <c r="CF222" s="18" t="s">
        <v>5135</v>
      </c>
      <c r="CG222" s="18" t="s">
        <v>5427</v>
      </c>
      <c r="CH222" s="18" t="s">
        <v>5194</v>
      </c>
      <c r="CI222" s="18" t="s">
        <v>5138</v>
      </c>
      <c r="CJ222" s="18" t="s">
        <v>5636</v>
      </c>
      <c r="CK222" s="18" t="s">
        <v>5197</v>
      </c>
      <c r="CL222" s="18">
        <v>1</v>
      </c>
      <c r="CM222" s="18">
        <v>0</v>
      </c>
      <c r="CN222" s="18">
        <v>0</v>
      </c>
      <c r="CO222" s="18">
        <v>1</v>
      </c>
      <c r="CP222" s="18">
        <v>1</v>
      </c>
      <c r="CQ222" s="18">
        <v>0</v>
      </c>
      <c r="CR222" s="18">
        <v>0</v>
      </c>
      <c r="CS222" s="18" t="s">
        <v>5141</v>
      </c>
      <c r="CT222" s="18">
        <v>1</v>
      </c>
      <c r="CU222" s="18">
        <v>1</v>
      </c>
      <c r="CV222" s="18" t="s">
        <v>5141</v>
      </c>
      <c r="CX222" s="18">
        <v>0</v>
      </c>
      <c r="CY222" s="18">
        <v>0</v>
      </c>
      <c r="CZ222" s="18">
        <v>0</v>
      </c>
      <c r="DA222" s="18">
        <v>0</v>
      </c>
      <c r="DB222" s="18">
        <v>1</v>
      </c>
      <c r="DC222" s="18">
        <v>1</v>
      </c>
      <c r="DD222" s="18">
        <v>1</v>
      </c>
      <c r="DE222" s="18">
        <v>1</v>
      </c>
      <c r="DF222" s="18" t="s">
        <v>5141</v>
      </c>
      <c r="DG222" s="18">
        <v>0</v>
      </c>
      <c r="DH222" s="18">
        <v>0</v>
      </c>
      <c r="DI222" s="18">
        <v>0</v>
      </c>
      <c r="DK222" s="18">
        <v>0</v>
      </c>
      <c r="DL222" s="18">
        <v>1</v>
      </c>
      <c r="DM222" s="18" t="s">
        <v>5127</v>
      </c>
      <c r="DN222" s="18" t="s">
        <v>5172</v>
      </c>
      <c r="DO222" s="18" t="s">
        <v>5978</v>
      </c>
      <c r="DP222" s="18" t="s">
        <v>113</v>
      </c>
      <c r="DQ222" s="18" t="s">
        <v>179</v>
      </c>
      <c r="DS222" s="18">
        <v>0</v>
      </c>
      <c r="DT222" s="18">
        <v>1</v>
      </c>
      <c r="DU222" s="18">
        <v>0</v>
      </c>
      <c r="DV222" s="18" t="s">
        <v>5324</v>
      </c>
      <c r="DX222" s="18" t="s">
        <v>5201</v>
      </c>
      <c r="DY222" s="18" t="s">
        <v>106</v>
      </c>
      <c r="DZ222" s="18" t="s">
        <v>113</v>
      </c>
      <c r="EA222" s="18" t="s">
        <v>5175</v>
      </c>
      <c r="EB222" s="18">
        <v>90</v>
      </c>
      <c r="EC222" s="18" t="s">
        <v>106</v>
      </c>
      <c r="ED222" s="18" t="s">
        <v>5176</v>
      </c>
      <c r="EE222" s="18" t="s">
        <v>113</v>
      </c>
      <c r="EF222" s="18" t="s">
        <v>113</v>
      </c>
      <c r="EG222" s="18" t="s">
        <v>5386</v>
      </c>
      <c r="EH222" s="18" t="s">
        <v>5203</v>
      </c>
      <c r="EI222" s="18" t="s">
        <v>5204</v>
      </c>
      <c r="EJ222" s="18" t="s">
        <v>5245</v>
      </c>
      <c r="EK222" s="18" t="s">
        <v>113</v>
      </c>
      <c r="EM222" s="18" t="s">
        <v>5227</v>
      </c>
      <c r="EN222" s="18" t="s">
        <v>113</v>
      </c>
      <c r="EO222" s="18" t="s">
        <v>113</v>
      </c>
      <c r="EP222" s="18" t="s">
        <v>113</v>
      </c>
      <c r="EQ222" s="18" t="s">
        <v>113</v>
      </c>
      <c r="ER222" s="18" t="s">
        <v>5155</v>
      </c>
      <c r="ES222" s="18" t="s">
        <v>5288</v>
      </c>
      <c r="ET222" s="18" t="s">
        <v>5154</v>
      </c>
      <c r="EU222" s="18" t="s">
        <v>5155</v>
      </c>
      <c r="EV222" s="18" t="s">
        <v>5345</v>
      </c>
      <c r="EW222" s="18" t="s">
        <v>5609</v>
      </c>
      <c r="EX222" s="18" t="s">
        <v>5158</v>
      </c>
      <c r="EY222" s="18" t="s">
        <v>5229</v>
      </c>
      <c r="EZ222" s="18" t="s">
        <v>5160</v>
      </c>
      <c r="FA222" s="18" t="s">
        <v>144</v>
      </c>
      <c r="FB222" s="18" t="s">
        <v>5161</v>
      </c>
    </row>
    <row r="223" spans="1:158" ht="10.5" customHeight="1" x14ac:dyDescent="0.2">
      <c r="A223" s="16">
        <v>41</v>
      </c>
      <c r="B223" s="16" t="s">
        <v>3445</v>
      </c>
      <c r="C223" s="16" t="s">
        <v>3446</v>
      </c>
      <c r="D223" s="16">
        <v>14815</v>
      </c>
      <c r="E223" s="16" t="s">
        <v>6656</v>
      </c>
      <c r="H223" s="15" t="s">
        <v>6661</v>
      </c>
      <c r="AT223" s="17">
        <f>(365*D223*0.7)/1000</f>
        <v>3785.2324999999996</v>
      </c>
      <c r="AU223" s="17">
        <f t="shared" si="8"/>
        <v>0</v>
      </c>
      <c r="BW223" s="15">
        <f t="shared" si="10"/>
        <v>0</v>
      </c>
    </row>
    <row r="224" spans="1:158" ht="10.5" customHeight="1" x14ac:dyDescent="0.2">
      <c r="A224" s="16">
        <v>41</v>
      </c>
      <c r="B224" s="16" t="s">
        <v>4168</v>
      </c>
      <c r="C224" s="16" t="s">
        <v>4169</v>
      </c>
      <c r="D224" s="16">
        <v>30757</v>
      </c>
      <c r="E224" s="16" t="s">
        <v>6658</v>
      </c>
      <c r="H224" s="15" t="s">
        <v>6661</v>
      </c>
      <c r="AT224" s="17">
        <f>(365*D224*0.7)/1000</f>
        <v>7858.4134999999987</v>
      </c>
      <c r="AU224" s="17">
        <f t="shared" si="8"/>
        <v>0</v>
      </c>
      <c r="BW224" s="15">
        <f t="shared" si="10"/>
        <v>0</v>
      </c>
    </row>
    <row r="225" spans="1:158" ht="10.5" customHeight="1" x14ac:dyDescent="0.2">
      <c r="A225" s="16">
        <v>41</v>
      </c>
      <c r="B225" s="16" t="s">
        <v>2033</v>
      </c>
      <c r="C225" s="16" t="s">
        <v>2032</v>
      </c>
      <c r="D225" s="16">
        <v>9633</v>
      </c>
      <c r="E225" s="16" t="s">
        <v>6656</v>
      </c>
      <c r="F225" s="18" t="s">
        <v>2032</v>
      </c>
      <c r="G225" s="18" t="s">
        <v>106</v>
      </c>
      <c r="H225" s="15" t="s">
        <v>5127</v>
      </c>
      <c r="I225" s="18">
        <v>9</v>
      </c>
      <c r="J225" s="18">
        <v>0</v>
      </c>
      <c r="K225" s="18">
        <v>9</v>
      </c>
      <c r="M225" s="18" t="s">
        <v>5230</v>
      </c>
      <c r="N225" s="18" t="s">
        <v>5979</v>
      </c>
      <c r="T225" s="18" t="s">
        <v>111</v>
      </c>
      <c r="U225" s="18" t="s">
        <v>5123</v>
      </c>
      <c r="V225" s="18" t="s">
        <v>106</v>
      </c>
      <c r="W225" s="18" t="s">
        <v>5211</v>
      </c>
      <c r="Y225" s="18" t="s">
        <v>5162</v>
      </c>
      <c r="Z225" s="18" t="s">
        <v>106</v>
      </c>
      <c r="AA225" s="18" t="s">
        <v>5163</v>
      </c>
      <c r="AB225" s="18" t="s">
        <v>179</v>
      </c>
      <c r="AC225" s="18" t="s">
        <v>5127</v>
      </c>
      <c r="AD225" s="18" t="s">
        <v>5127</v>
      </c>
      <c r="AE225" s="18" t="s">
        <v>5127</v>
      </c>
      <c r="AF225" s="18" t="s">
        <v>5127</v>
      </c>
      <c r="AG225" s="18" t="s">
        <v>5127</v>
      </c>
      <c r="AH225" s="18" t="s">
        <v>111</v>
      </c>
      <c r="AI225" s="18">
        <v>1</v>
      </c>
      <c r="AK225" s="18" t="s">
        <v>5164</v>
      </c>
      <c r="AN225" s="18">
        <v>0</v>
      </c>
      <c r="AO225" s="18" t="s">
        <v>5186</v>
      </c>
      <c r="AP225" s="18" t="s">
        <v>5980</v>
      </c>
      <c r="AQ225" s="18" t="s">
        <v>5981</v>
      </c>
      <c r="AR225" s="18" t="s">
        <v>5132</v>
      </c>
      <c r="AT225" s="17">
        <f>(365*D225*0.7)/1000</f>
        <v>2461.2314999999999</v>
      </c>
      <c r="AU225" s="17">
        <f t="shared" si="8"/>
        <v>1300</v>
      </c>
      <c r="AV225" s="18">
        <v>1300</v>
      </c>
      <c r="AW225" s="18">
        <v>0</v>
      </c>
      <c r="AY225" s="18" t="s">
        <v>164</v>
      </c>
      <c r="BG225" s="18" t="s">
        <v>164</v>
      </c>
      <c r="BQ225" s="18">
        <v>63</v>
      </c>
      <c r="BR225" s="18">
        <v>85</v>
      </c>
      <c r="BS225" s="18">
        <v>150</v>
      </c>
      <c r="BT225" s="18">
        <v>11</v>
      </c>
      <c r="BU225" s="18">
        <v>20</v>
      </c>
      <c r="BV225" s="18">
        <v>329</v>
      </c>
      <c r="BW225" s="15">
        <f t="shared" si="10"/>
        <v>329</v>
      </c>
      <c r="BY225" s="18" t="s">
        <v>5982</v>
      </c>
      <c r="BZ225" s="18" t="s">
        <v>5494</v>
      </c>
      <c r="CD225" s="18" t="s">
        <v>5127</v>
      </c>
      <c r="CE225" s="18" t="s">
        <v>5127</v>
      </c>
      <c r="CF225" s="18" t="s">
        <v>5135</v>
      </c>
      <c r="CG225" s="18" t="s">
        <v>5983</v>
      </c>
      <c r="CH225" s="18" t="s">
        <v>5241</v>
      </c>
      <c r="CI225" s="18" t="s">
        <v>5138</v>
      </c>
      <c r="CJ225" s="18" t="s">
        <v>5196</v>
      </c>
      <c r="CK225" s="18" t="s">
        <v>5197</v>
      </c>
      <c r="CL225" s="18">
        <v>2</v>
      </c>
      <c r="CM225" s="18">
        <v>0</v>
      </c>
      <c r="CN225" s="18">
        <v>0</v>
      </c>
      <c r="CO225" s="18">
        <v>2</v>
      </c>
      <c r="CP225" s="18">
        <v>2</v>
      </c>
      <c r="CQ225" s="18">
        <v>1</v>
      </c>
      <c r="CR225" s="18">
        <v>0</v>
      </c>
      <c r="CS225" s="18" t="s">
        <v>5141</v>
      </c>
      <c r="CT225" s="18">
        <v>0</v>
      </c>
      <c r="CU225" s="18">
        <v>0</v>
      </c>
      <c r="CV225" s="18">
        <v>0</v>
      </c>
      <c r="CX225" s="18">
        <v>2</v>
      </c>
      <c r="CY225" s="18">
        <v>2</v>
      </c>
      <c r="CZ225" s="18">
        <v>2</v>
      </c>
      <c r="DA225" s="18">
        <v>1</v>
      </c>
      <c r="DB225" s="18">
        <v>1</v>
      </c>
      <c r="DC225" s="18">
        <v>2</v>
      </c>
      <c r="DD225" s="18">
        <v>1</v>
      </c>
      <c r="DE225" s="18" t="s">
        <v>5141</v>
      </c>
      <c r="DF225" s="18" t="s">
        <v>5141</v>
      </c>
      <c r="DG225" s="18">
        <v>1</v>
      </c>
      <c r="DH225" s="18">
        <v>3</v>
      </c>
      <c r="DI225" s="18">
        <v>3</v>
      </c>
      <c r="DK225" s="18">
        <v>0</v>
      </c>
      <c r="DL225" s="18">
        <v>1</v>
      </c>
      <c r="DM225" s="18" t="s">
        <v>5127</v>
      </c>
      <c r="DN225" s="18" t="s">
        <v>5258</v>
      </c>
      <c r="DO225" s="18" t="s">
        <v>5694</v>
      </c>
      <c r="DP225" s="18" t="s">
        <v>106</v>
      </c>
      <c r="DQ225" s="18" t="s">
        <v>5132</v>
      </c>
      <c r="DS225" s="18">
        <v>0</v>
      </c>
      <c r="DT225" s="18">
        <v>1</v>
      </c>
      <c r="DU225" s="18">
        <v>1</v>
      </c>
      <c r="DV225" s="18" t="s">
        <v>5260</v>
      </c>
      <c r="DX225" s="18" t="s">
        <v>5201</v>
      </c>
      <c r="DY225" s="18" t="s">
        <v>106</v>
      </c>
      <c r="DZ225" s="18" t="s">
        <v>106</v>
      </c>
      <c r="EA225" s="18" t="s">
        <v>5261</v>
      </c>
      <c r="EB225" s="18">
        <v>300</v>
      </c>
      <c r="EC225" s="18" t="s">
        <v>106</v>
      </c>
      <c r="ED225" s="18" t="s">
        <v>5147</v>
      </c>
      <c r="EE225" s="18" t="s">
        <v>106</v>
      </c>
      <c r="EF225" s="18" t="s">
        <v>113</v>
      </c>
      <c r="EG225" s="18" t="s">
        <v>5404</v>
      </c>
      <c r="EH225" s="18" t="s">
        <v>5203</v>
      </c>
      <c r="EI225" s="18" t="s">
        <v>5204</v>
      </c>
      <c r="EJ225" s="18" t="s">
        <v>5245</v>
      </c>
      <c r="EN225" s="18" t="s">
        <v>113</v>
      </c>
      <c r="ER225" s="18" t="s">
        <v>5152</v>
      </c>
      <c r="ES225" s="18" t="s">
        <v>5153</v>
      </c>
      <c r="ET225" s="18" t="s">
        <v>5154</v>
      </c>
      <c r="EU225" s="18" t="s">
        <v>5155</v>
      </c>
      <c r="EX225" s="18" t="s">
        <v>5158</v>
      </c>
      <c r="EY225" s="18" t="s">
        <v>164</v>
      </c>
      <c r="EZ225" s="18" t="s">
        <v>5160</v>
      </c>
      <c r="FA225" s="18" t="s">
        <v>144</v>
      </c>
      <c r="FB225" s="18" t="s">
        <v>5161</v>
      </c>
    </row>
    <row r="226" spans="1:158" ht="10.5" customHeight="1" x14ac:dyDescent="0.2">
      <c r="A226" s="16">
        <v>41</v>
      </c>
      <c r="B226" s="16" t="s">
        <v>2047</v>
      </c>
      <c r="C226" s="16" t="s">
        <v>2046</v>
      </c>
      <c r="D226" s="16">
        <v>2510</v>
      </c>
      <c r="E226" s="16" t="s">
        <v>6656</v>
      </c>
      <c r="F226" s="18" t="s">
        <v>2046</v>
      </c>
      <c r="G226" s="18" t="s">
        <v>106</v>
      </c>
      <c r="H226" s="15" t="s">
        <v>5127</v>
      </c>
      <c r="I226" s="18">
        <v>2</v>
      </c>
      <c r="J226" s="18">
        <v>1</v>
      </c>
      <c r="K226" s="18">
        <v>1</v>
      </c>
      <c r="L226" s="18">
        <v>0</v>
      </c>
      <c r="M226" s="18" t="s">
        <v>5183</v>
      </c>
      <c r="N226" s="18">
        <v>247034</v>
      </c>
      <c r="O226" s="18">
        <v>46217</v>
      </c>
      <c r="T226" s="18" t="s">
        <v>111</v>
      </c>
      <c r="U226" s="18" t="s">
        <v>5250</v>
      </c>
      <c r="V226" s="18" t="s">
        <v>106</v>
      </c>
      <c r="W226" s="18" t="s">
        <v>5211</v>
      </c>
      <c r="Y226" s="18" t="s">
        <v>5309</v>
      </c>
      <c r="Z226" s="18" t="s">
        <v>113</v>
      </c>
      <c r="AA226" s="18" t="s">
        <v>5163</v>
      </c>
      <c r="AB226" s="18" t="s">
        <v>179</v>
      </c>
      <c r="AC226" s="18" t="s">
        <v>111</v>
      </c>
      <c r="AD226" s="18" t="s">
        <v>111</v>
      </c>
      <c r="AE226" s="18" t="s">
        <v>111</v>
      </c>
      <c r="AF226" s="18" t="s">
        <v>111</v>
      </c>
      <c r="AG226" s="18" t="s">
        <v>111</v>
      </c>
      <c r="AH226" s="18" t="s">
        <v>111</v>
      </c>
      <c r="AI226" s="18">
        <v>0</v>
      </c>
      <c r="AK226" s="18" t="s">
        <v>5164</v>
      </c>
      <c r="AN226" s="18">
        <v>954</v>
      </c>
      <c r="AO226" s="18" t="s">
        <v>5391</v>
      </c>
      <c r="AP226" s="18" t="s">
        <v>5984</v>
      </c>
      <c r="AQ226" s="18" t="s">
        <v>5252</v>
      </c>
      <c r="AR226" s="18" t="s">
        <v>5221</v>
      </c>
      <c r="AT226" s="17">
        <f>(365*D226*0.7)/1000</f>
        <v>641.30499999999995</v>
      </c>
      <c r="AU226" s="17">
        <f t="shared" si="8"/>
        <v>1.53</v>
      </c>
      <c r="AV226" s="18">
        <v>0.75</v>
      </c>
      <c r="AW226" s="18">
        <v>0.78</v>
      </c>
      <c r="AY226" s="18" t="s">
        <v>5217</v>
      </c>
      <c r="BA226" s="18">
        <f>950/1000</f>
        <v>0.95</v>
      </c>
      <c r="BB226" s="18">
        <v>300</v>
      </c>
      <c r="BG226" s="18" t="s">
        <v>5169</v>
      </c>
      <c r="BQ226" s="18">
        <f>0.5</f>
        <v>0.5</v>
      </c>
      <c r="BR226" s="18">
        <f>0.25</f>
        <v>0.25</v>
      </c>
      <c r="BS226" s="18">
        <f>50</f>
        <v>50</v>
      </c>
      <c r="BT226" s="18">
        <f>100</f>
        <v>100</v>
      </c>
      <c r="BU226" s="18">
        <f>4</f>
        <v>4</v>
      </c>
      <c r="BV226" s="18">
        <f>SUM(BQ226:BU226)</f>
        <v>154.75</v>
      </c>
      <c r="BW226" s="15">
        <f t="shared" si="10"/>
        <v>154.75</v>
      </c>
      <c r="BY226" s="18" t="s">
        <v>5134</v>
      </c>
      <c r="BZ226" s="18" t="s">
        <v>5312</v>
      </c>
      <c r="CD226" s="18" t="s">
        <v>5127</v>
      </c>
      <c r="CE226" s="18" t="s">
        <v>5127</v>
      </c>
      <c r="CF226" s="18" t="s">
        <v>5135</v>
      </c>
      <c r="CG226" s="18" t="s">
        <v>5985</v>
      </c>
      <c r="CH226" s="18" t="s">
        <v>5241</v>
      </c>
      <c r="CI226" s="18" t="s">
        <v>111</v>
      </c>
      <c r="CJ226" s="18" t="s">
        <v>5139</v>
      </c>
      <c r="CK226" s="18" t="s">
        <v>5197</v>
      </c>
      <c r="CL226" s="18">
        <v>1</v>
      </c>
      <c r="CM226" s="18">
        <v>0</v>
      </c>
      <c r="CN226" s="18">
        <v>0</v>
      </c>
      <c r="CO226" s="18">
        <v>0</v>
      </c>
      <c r="CP226" s="18">
        <v>1</v>
      </c>
      <c r="CQ226" s="18">
        <v>0</v>
      </c>
      <c r="CR226" s="18">
        <v>0</v>
      </c>
      <c r="CS226" s="18">
        <v>1</v>
      </c>
      <c r="CT226" s="18">
        <v>0</v>
      </c>
      <c r="CU226" s="18">
        <v>0</v>
      </c>
      <c r="CV226" s="18">
        <v>0</v>
      </c>
      <c r="CX226" s="18">
        <v>1</v>
      </c>
      <c r="CY226" s="18">
        <v>1</v>
      </c>
      <c r="CZ226" s="18">
        <v>1</v>
      </c>
      <c r="DA226" s="18">
        <v>1</v>
      </c>
      <c r="DB226" s="18">
        <v>1</v>
      </c>
      <c r="DC226" s="18">
        <v>1</v>
      </c>
      <c r="DD226" s="18">
        <v>1</v>
      </c>
      <c r="DE226" s="18">
        <v>1</v>
      </c>
      <c r="DF226" s="18">
        <v>1</v>
      </c>
      <c r="DG226" s="18">
        <v>1</v>
      </c>
      <c r="DH226" s="18">
        <v>1</v>
      </c>
      <c r="DI226" s="18">
        <v>1</v>
      </c>
      <c r="DK226" s="18">
        <v>0</v>
      </c>
      <c r="DL226" s="18">
        <v>1</v>
      </c>
      <c r="DM226" s="18" t="s">
        <v>5127</v>
      </c>
      <c r="DN226" s="18" t="s">
        <v>5314</v>
      </c>
      <c r="DO226" s="18" t="s">
        <v>5143</v>
      </c>
      <c r="DP226" s="18" t="s">
        <v>113</v>
      </c>
      <c r="DS226" s="18">
        <v>0.5</v>
      </c>
      <c r="DT226" s="18">
        <v>0</v>
      </c>
      <c r="DU226" s="18">
        <v>1</v>
      </c>
      <c r="DV226" s="18" t="s">
        <v>5822</v>
      </c>
      <c r="DX226" s="18" t="s">
        <v>5145</v>
      </c>
      <c r="DY226" s="18" t="s">
        <v>106</v>
      </c>
      <c r="DZ226" s="18" t="s">
        <v>113</v>
      </c>
      <c r="EA226" s="18" t="s">
        <v>5146</v>
      </c>
      <c r="EB226" s="18">
        <v>750</v>
      </c>
      <c r="EC226" s="18" t="s">
        <v>113</v>
      </c>
      <c r="ED226" s="18" t="s">
        <v>5147</v>
      </c>
      <c r="EE226" s="18" t="s">
        <v>113</v>
      </c>
      <c r="EF226" s="18" t="s">
        <v>113</v>
      </c>
      <c r="EG226" s="18" t="s">
        <v>5148</v>
      </c>
      <c r="EH226" s="18" t="s">
        <v>5203</v>
      </c>
      <c r="EI226" s="18" t="s">
        <v>5204</v>
      </c>
      <c r="EJ226" s="18" t="s">
        <v>5273</v>
      </c>
      <c r="EK226" s="18" t="s">
        <v>113</v>
      </c>
      <c r="EM226" s="18" t="s">
        <v>5514</v>
      </c>
      <c r="EN226" s="18" t="s">
        <v>113</v>
      </c>
      <c r="EO226" s="18" t="s">
        <v>113</v>
      </c>
      <c r="EP226" s="18" t="s">
        <v>113</v>
      </c>
      <c r="EQ226" s="18" t="s">
        <v>113</v>
      </c>
      <c r="ER226" s="18" t="s">
        <v>5155</v>
      </c>
      <c r="ES226" s="18" t="s">
        <v>5447</v>
      </c>
      <c r="ET226" s="18" t="s">
        <v>5154</v>
      </c>
      <c r="EU226" s="18" t="s">
        <v>5318</v>
      </c>
      <c r="EV226" s="18" t="s">
        <v>5986</v>
      </c>
      <c r="EW226" s="18" t="s">
        <v>5291</v>
      </c>
      <c r="EX226" s="18" t="s">
        <v>5158</v>
      </c>
      <c r="EY226" s="18" t="s">
        <v>5181</v>
      </c>
      <c r="EZ226" s="18" t="s">
        <v>5160</v>
      </c>
      <c r="FA226" s="18" t="s">
        <v>144</v>
      </c>
      <c r="FB226" s="18" t="s">
        <v>5161</v>
      </c>
    </row>
    <row r="227" spans="1:158" ht="10.5" customHeight="1" x14ac:dyDescent="0.2">
      <c r="A227" s="16">
        <v>41</v>
      </c>
      <c r="B227" s="16" t="s">
        <v>2068</v>
      </c>
      <c r="C227" s="16" t="s">
        <v>2067</v>
      </c>
      <c r="D227" s="16">
        <v>4531</v>
      </c>
      <c r="E227" s="16" t="s">
        <v>6656</v>
      </c>
      <c r="F227" s="18" t="s">
        <v>2067</v>
      </c>
      <c r="G227" s="18" t="s">
        <v>113</v>
      </c>
      <c r="H227" s="15" t="s">
        <v>111</v>
      </c>
      <c r="AT227" s="17">
        <f>(365*D227*0.7)/1000</f>
        <v>1157.6704999999999</v>
      </c>
      <c r="AU227" s="17">
        <f t="shared" si="8"/>
        <v>0</v>
      </c>
      <c r="BW227" s="15">
        <f t="shared" si="10"/>
        <v>0</v>
      </c>
    </row>
    <row r="228" spans="1:158" ht="10.5" customHeight="1" x14ac:dyDescent="0.2">
      <c r="A228" s="16">
        <v>41</v>
      </c>
      <c r="B228" s="16" t="s">
        <v>2083</v>
      </c>
      <c r="C228" s="16" t="s">
        <v>2082</v>
      </c>
      <c r="D228" s="16">
        <v>14338</v>
      </c>
      <c r="E228" s="16" t="s">
        <v>6656</v>
      </c>
      <c r="F228" s="18" t="s">
        <v>2082</v>
      </c>
      <c r="G228" s="18" t="s">
        <v>113</v>
      </c>
      <c r="H228" s="15" t="s">
        <v>111</v>
      </c>
      <c r="AT228" s="17">
        <f>(365*D228*0.7)/1000</f>
        <v>3663.3589999999999</v>
      </c>
      <c r="AU228" s="17">
        <f t="shared" si="8"/>
        <v>0</v>
      </c>
      <c r="BW228" s="15">
        <f t="shared" si="10"/>
        <v>0</v>
      </c>
    </row>
    <row r="229" spans="1:158" ht="10.5" customHeight="1" x14ac:dyDescent="0.2">
      <c r="A229" s="16">
        <v>41</v>
      </c>
      <c r="B229" s="16" t="s">
        <v>2101</v>
      </c>
      <c r="C229" s="16" t="s">
        <v>2100</v>
      </c>
      <c r="D229" s="16">
        <v>16062</v>
      </c>
      <c r="E229" s="16" t="s">
        <v>6658</v>
      </c>
      <c r="F229" s="18" t="s">
        <v>2100</v>
      </c>
      <c r="G229" s="18" t="s">
        <v>113</v>
      </c>
      <c r="H229" s="15" t="s">
        <v>111</v>
      </c>
      <c r="AT229" s="17">
        <f>(365*D229*0.7)/1000</f>
        <v>4103.8409999999994</v>
      </c>
      <c r="AU229" s="17">
        <f t="shared" si="8"/>
        <v>0</v>
      </c>
      <c r="BW229" s="15">
        <f t="shared" si="10"/>
        <v>0</v>
      </c>
    </row>
    <row r="230" spans="1:158" ht="10.5" customHeight="1" x14ac:dyDescent="0.2">
      <c r="A230" s="16">
        <v>41</v>
      </c>
      <c r="B230" s="16" t="s">
        <v>2113</v>
      </c>
      <c r="C230" s="16" t="s">
        <v>2112</v>
      </c>
      <c r="D230" s="16">
        <v>2344</v>
      </c>
      <c r="E230" s="16" t="s">
        <v>6656</v>
      </c>
      <c r="F230" s="18" t="s">
        <v>2112</v>
      </c>
      <c r="G230" s="18" t="s">
        <v>106</v>
      </c>
      <c r="H230" s="15" t="s">
        <v>5127</v>
      </c>
      <c r="I230" s="18">
        <v>8</v>
      </c>
      <c r="J230" s="18">
        <v>2</v>
      </c>
      <c r="K230" s="18">
        <v>6</v>
      </c>
      <c r="L230" s="18">
        <v>0</v>
      </c>
      <c r="M230" s="18" t="s">
        <v>5183</v>
      </c>
      <c r="N230" s="18" t="s">
        <v>5987</v>
      </c>
      <c r="O230" s="18">
        <v>47078</v>
      </c>
      <c r="T230" s="18" t="s">
        <v>111</v>
      </c>
      <c r="U230" s="18" t="s">
        <v>5250</v>
      </c>
      <c r="V230" s="18" t="s">
        <v>106</v>
      </c>
      <c r="W230" s="18" t="s">
        <v>5124</v>
      </c>
      <c r="Y230" s="18" t="s">
        <v>5162</v>
      </c>
      <c r="Z230" s="18" t="s">
        <v>106</v>
      </c>
      <c r="AA230" s="18" t="s">
        <v>5163</v>
      </c>
      <c r="AB230" s="18" t="s">
        <v>179</v>
      </c>
      <c r="AC230" s="18" t="s">
        <v>5127</v>
      </c>
      <c r="AD230" s="18" t="s">
        <v>5127</v>
      </c>
      <c r="AE230" s="18" t="s">
        <v>5127</v>
      </c>
      <c r="AF230" s="18" t="s">
        <v>111</v>
      </c>
      <c r="AG230" s="18" t="s">
        <v>5127</v>
      </c>
      <c r="AH230" s="18" t="s">
        <v>5127</v>
      </c>
      <c r="AI230" s="18">
        <v>1</v>
      </c>
      <c r="AK230" s="18" t="s">
        <v>5164</v>
      </c>
      <c r="AN230" s="18">
        <v>155</v>
      </c>
      <c r="AO230" s="18" t="s">
        <v>5186</v>
      </c>
      <c r="AP230" s="18" t="s">
        <v>5988</v>
      </c>
      <c r="AQ230" s="18" t="s">
        <v>5989</v>
      </c>
      <c r="AR230" s="18" t="s">
        <v>5168</v>
      </c>
      <c r="AT230" s="17">
        <f>(365*D230*0.7)/1000</f>
        <v>598.89200000000005</v>
      </c>
      <c r="AU230" s="17">
        <f t="shared" si="8"/>
        <v>33</v>
      </c>
      <c r="AV230" s="18">
        <v>33</v>
      </c>
      <c r="AW230" s="18">
        <v>0</v>
      </c>
      <c r="AY230" s="18" t="s">
        <v>5473</v>
      </c>
      <c r="AZ230" s="18">
        <v>0</v>
      </c>
      <c r="BA230" s="18">
        <v>0</v>
      </c>
      <c r="BB230" s="18">
        <v>0</v>
      </c>
      <c r="BD230" s="18">
        <v>6</v>
      </c>
      <c r="BE230" s="18">
        <v>0</v>
      </c>
      <c r="BG230" s="18" t="s">
        <v>5238</v>
      </c>
      <c r="BH230" s="18">
        <f>923/1000</f>
        <v>0.92300000000000004</v>
      </c>
      <c r="BI230" s="18">
        <v>0</v>
      </c>
      <c r="BJ230" s="18">
        <v>0</v>
      </c>
      <c r="BQ230" s="18">
        <v>47</v>
      </c>
      <c r="BR230" s="18">
        <v>38</v>
      </c>
      <c r="BS230" s="18">
        <v>24</v>
      </c>
      <c r="BT230" s="18">
        <v>16</v>
      </c>
      <c r="BU230" s="18">
        <v>1</v>
      </c>
      <c r="BV230" s="18">
        <v>126</v>
      </c>
      <c r="BW230" s="15">
        <f t="shared" si="10"/>
        <v>126</v>
      </c>
      <c r="BY230" s="18" t="s">
        <v>5134</v>
      </c>
      <c r="BZ230" s="18" t="s">
        <v>5712</v>
      </c>
      <c r="CD230" s="18" t="s">
        <v>5127</v>
      </c>
      <c r="CE230" s="18" t="s">
        <v>111</v>
      </c>
      <c r="CF230" s="18" t="s">
        <v>5135</v>
      </c>
      <c r="CG230" s="18" t="s">
        <v>5990</v>
      </c>
      <c r="CH230" s="18" t="s">
        <v>5564</v>
      </c>
      <c r="CI230" s="18" t="s">
        <v>5138</v>
      </c>
      <c r="CJ230" s="18" t="s">
        <v>5196</v>
      </c>
      <c r="CK230" s="18" t="s">
        <v>5197</v>
      </c>
      <c r="CL230" s="18">
        <v>0</v>
      </c>
      <c r="CM230" s="18">
        <v>1</v>
      </c>
      <c r="CN230" s="18">
        <v>0</v>
      </c>
      <c r="CO230" s="18">
        <v>1</v>
      </c>
      <c r="CP230" s="18">
        <v>1</v>
      </c>
      <c r="CQ230" s="18">
        <v>1</v>
      </c>
      <c r="CR230" s="18">
        <v>0</v>
      </c>
      <c r="CS230" s="18" t="s">
        <v>5141</v>
      </c>
      <c r="CT230" s="18">
        <v>1</v>
      </c>
      <c r="CU230" s="18">
        <v>0</v>
      </c>
      <c r="CV230" s="18">
        <v>0</v>
      </c>
      <c r="CX230" s="18">
        <v>0</v>
      </c>
      <c r="CY230" s="18">
        <v>0</v>
      </c>
      <c r="CZ230" s="18">
        <v>0</v>
      </c>
      <c r="DA230" s="18">
        <v>0</v>
      </c>
      <c r="DB230" s="18">
        <v>0</v>
      </c>
      <c r="DC230" s="18">
        <v>0</v>
      </c>
      <c r="DD230" s="18">
        <v>1</v>
      </c>
      <c r="DE230" s="18">
        <v>0</v>
      </c>
      <c r="DF230" s="18">
        <v>0</v>
      </c>
      <c r="DG230" s="18">
        <v>0</v>
      </c>
      <c r="DH230" s="18">
        <v>1</v>
      </c>
      <c r="DI230" s="18">
        <v>0</v>
      </c>
      <c r="DK230" s="18">
        <v>0</v>
      </c>
      <c r="DL230" s="18">
        <v>0</v>
      </c>
      <c r="DM230" s="18" t="s">
        <v>5127</v>
      </c>
      <c r="DN230" s="18" t="s">
        <v>5258</v>
      </c>
      <c r="DO230" s="18" t="s">
        <v>5665</v>
      </c>
      <c r="DP230" s="18" t="s">
        <v>113</v>
      </c>
      <c r="DQ230" s="18" t="s">
        <v>5168</v>
      </c>
      <c r="DS230" s="18">
        <v>0</v>
      </c>
      <c r="DT230" s="18">
        <v>1</v>
      </c>
      <c r="DU230" s="18">
        <v>0</v>
      </c>
      <c r="DV230" s="18" t="s">
        <v>5144</v>
      </c>
      <c r="DX230" s="18" t="s">
        <v>5222</v>
      </c>
      <c r="DY230" s="18" t="s">
        <v>106</v>
      </c>
      <c r="DZ230" s="18" t="s">
        <v>113</v>
      </c>
      <c r="EA230" s="18" t="s">
        <v>5202</v>
      </c>
      <c r="EB230" s="18">
        <v>126</v>
      </c>
      <c r="EC230" s="18" t="s">
        <v>106</v>
      </c>
      <c r="ED230" s="18" t="s">
        <v>5176</v>
      </c>
      <c r="EE230" s="18" t="s">
        <v>113</v>
      </c>
      <c r="EF230" s="18" t="s">
        <v>113</v>
      </c>
      <c r="EG230" s="18" t="s">
        <v>5148</v>
      </c>
      <c r="EH230" s="18" t="s">
        <v>5203</v>
      </c>
      <c r="EI230" s="18" t="s">
        <v>5204</v>
      </c>
      <c r="EJ230" s="18" t="s">
        <v>5287</v>
      </c>
      <c r="EK230" s="18" t="s">
        <v>113</v>
      </c>
      <c r="EL230" s="18" t="s">
        <v>5991</v>
      </c>
      <c r="EM230" s="18" t="s">
        <v>5992</v>
      </c>
      <c r="EN230" s="18" t="s">
        <v>113</v>
      </c>
      <c r="EO230" s="18" t="s">
        <v>113</v>
      </c>
      <c r="EP230" s="18" t="s">
        <v>113</v>
      </c>
      <c r="EQ230" s="18" t="s">
        <v>113</v>
      </c>
      <c r="ER230" s="18" t="s">
        <v>5155</v>
      </c>
      <c r="ES230" s="18" t="s">
        <v>5447</v>
      </c>
      <c r="ET230" s="18" t="s">
        <v>5154</v>
      </c>
      <c r="EU230" s="18" t="s">
        <v>5155</v>
      </c>
      <c r="EV230" s="18" t="s">
        <v>5898</v>
      </c>
      <c r="EW230" s="18" t="s">
        <v>5993</v>
      </c>
      <c r="EX230" s="18" t="s">
        <v>5158</v>
      </c>
      <c r="EY230" s="18" t="s">
        <v>5522</v>
      </c>
      <c r="EZ230" s="18" t="s">
        <v>5160</v>
      </c>
      <c r="FA230" s="18" t="s">
        <v>144</v>
      </c>
      <c r="FB230" s="18" t="s">
        <v>5161</v>
      </c>
    </row>
    <row r="231" spans="1:158" ht="10.5" customHeight="1" x14ac:dyDescent="0.2">
      <c r="A231" s="16">
        <v>41</v>
      </c>
      <c r="B231" s="16" t="s">
        <v>2130</v>
      </c>
      <c r="C231" s="16" t="s">
        <v>2129</v>
      </c>
      <c r="D231" s="16">
        <v>60796</v>
      </c>
      <c r="E231" s="16" t="s">
        <v>6658</v>
      </c>
      <c r="F231" s="18" t="s">
        <v>2129</v>
      </c>
      <c r="G231" s="18" t="s">
        <v>106</v>
      </c>
      <c r="H231" s="15" t="s">
        <v>5127</v>
      </c>
      <c r="I231" s="18">
        <v>16</v>
      </c>
      <c r="J231" s="18">
        <v>8</v>
      </c>
      <c r="K231" s="18">
        <v>8</v>
      </c>
      <c r="M231" s="18" t="s">
        <v>5121</v>
      </c>
      <c r="N231" s="18" t="s">
        <v>1255</v>
      </c>
      <c r="T231" s="18" t="s">
        <v>5546</v>
      </c>
      <c r="U231" s="18" t="s">
        <v>5250</v>
      </c>
      <c r="V231" s="18" t="s">
        <v>106</v>
      </c>
      <c r="W231" s="18" t="s">
        <v>5124</v>
      </c>
      <c r="Y231" s="18" t="s">
        <v>5162</v>
      </c>
      <c r="Z231" s="18" t="s">
        <v>113</v>
      </c>
      <c r="AA231" s="18" t="s">
        <v>5163</v>
      </c>
      <c r="AB231" s="18" t="s">
        <v>179</v>
      </c>
      <c r="AC231" s="18" t="s">
        <v>111</v>
      </c>
      <c r="AD231" s="18" t="s">
        <v>111</v>
      </c>
      <c r="AE231" s="18" t="s">
        <v>111</v>
      </c>
      <c r="AF231" s="18" t="s">
        <v>111</v>
      </c>
      <c r="AG231" s="18" t="s">
        <v>5127</v>
      </c>
      <c r="AH231" s="18" t="s">
        <v>111</v>
      </c>
      <c r="AI231" s="18">
        <v>1</v>
      </c>
      <c r="AK231" s="18" t="s">
        <v>5164</v>
      </c>
      <c r="AN231" s="18">
        <v>0</v>
      </c>
      <c r="AO231" s="18" t="s">
        <v>5186</v>
      </c>
      <c r="AP231" s="18" t="s">
        <v>5994</v>
      </c>
      <c r="AQ231" s="18" t="s">
        <v>5252</v>
      </c>
      <c r="AR231" s="18" t="s">
        <v>5168</v>
      </c>
      <c r="AT231" s="17">
        <f>(365*D231*0.7)/1000</f>
        <v>15533.377999999999</v>
      </c>
      <c r="AU231" s="17">
        <f t="shared" si="8"/>
        <v>43</v>
      </c>
      <c r="AV231" s="18">
        <v>43</v>
      </c>
      <c r="AW231" s="18">
        <v>0</v>
      </c>
      <c r="AY231" s="18" t="s">
        <v>164</v>
      </c>
      <c r="BG231" s="18" t="s">
        <v>164</v>
      </c>
      <c r="BQ231" s="18">
        <v>81</v>
      </c>
      <c r="BR231" s="18">
        <v>39</v>
      </c>
      <c r="BS231" s="18">
        <v>66</v>
      </c>
      <c r="BT231" s="18">
        <v>5</v>
      </c>
      <c r="BU231" s="18">
        <v>7</v>
      </c>
      <c r="BV231" s="18">
        <v>198</v>
      </c>
      <c r="BW231" s="15">
        <f t="shared" si="10"/>
        <v>198</v>
      </c>
      <c r="BY231" s="18" t="s">
        <v>5134</v>
      </c>
      <c r="BZ231" s="18" t="s">
        <v>193</v>
      </c>
      <c r="CD231" s="18" t="s">
        <v>5127</v>
      </c>
      <c r="CE231" s="18" t="s">
        <v>111</v>
      </c>
      <c r="CF231" s="18" t="s">
        <v>5135</v>
      </c>
      <c r="CG231" s="18" t="s">
        <v>5903</v>
      </c>
      <c r="CH231" s="18" t="s">
        <v>111</v>
      </c>
      <c r="CI231" s="18" t="s">
        <v>5138</v>
      </c>
      <c r="CJ231" s="18" t="s">
        <v>5196</v>
      </c>
      <c r="CK231" s="18" t="s">
        <v>179</v>
      </c>
      <c r="CL231" s="18">
        <v>2</v>
      </c>
      <c r="CM231" s="18">
        <v>0</v>
      </c>
      <c r="CN231" s="18">
        <v>0</v>
      </c>
      <c r="CO231" s="18">
        <v>1</v>
      </c>
      <c r="CP231" s="18">
        <v>0</v>
      </c>
      <c r="CQ231" s="18">
        <v>0</v>
      </c>
      <c r="CR231" s="18">
        <v>0</v>
      </c>
      <c r="CS231" s="18" t="s">
        <v>5141</v>
      </c>
      <c r="CT231" s="18">
        <v>1</v>
      </c>
      <c r="CU231" s="18">
        <v>1</v>
      </c>
      <c r="CV231" s="18">
        <v>3</v>
      </c>
      <c r="CX231" s="18">
        <v>0</v>
      </c>
      <c r="CY231" s="18">
        <v>2</v>
      </c>
      <c r="CZ231" s="18">
        <v>2</v>
      </c>
      <c r="DA231" s="18">
        <v>2</v>
      </c>
      <c r="DB231" s="18">
        <v>2</v>
      </c>
      <c r="DC231" s="18">
        <v>1</v>
      </c>
      <c r="DD231" s="18">
        <v>1</v>
      </c>
      <c r="DE231" s="18">
        <v>5</v>
      </c>
      <c r="DF231" s="18" t="s">
        <v>5141</v>
      </c>
      <c r="DG231" s="18">
        <v>1</v>
      </c>
      <c r="DH231" s="18">
        <v>3</v>
      </c>
      <c r="DI231" s="18">
        <v>3</v>
      </c>
      <c r="DK231" s="18">
        <v>0</v>
      </c>
      <c r="DL231" s="18">
        <v>1</v>
      </c>
      <c r="DM231" s="18" t="s">
        <v>5127</v>
      </c>
      <c r="DN231" s="18" t="s">
        <v>5172</v>
      </c>
      <c r="DO231" s="18" t="s">
        <v>5259</v>
      </c>
      <c r="DP231" s="18" t="s">
        <v>113</v>
      </c>
      <c r="DS231" s="18">
        <v>0</v>
      </c>
      <c r="DT231" s="18">
        <v>0</v>
      </c>
      <c r="DU231" s="18">
        <v>3</v>
      </c>
      <c r="DV231" s="18" t="s">
        <v>5342</v>
      </c>
      <c r="DX231" s="18" t="s">
        <v>5222</v>
      </c>
      <c r="DY231" s="18" t="s">
        <v>106</v>
      </c>
      <c r="DZ231" s="18" t="s">
        <v>113</v>
      </c>
      <c r="EA231" s="18" t="s">
        <v>5146</v>
      </c>
      <c r="EB231" s="18">
        <v>198724</v>
      </c>
      <c r="EC231" s="18" t="s">
        <v>106</v>
      </c>
      <c r="ED231" s="18" t="s">
        <v>5176</v>
      </c>
      <c r="EE231" s="18" t="s">
        <v>113</v>
      </c>
      <c r="EF231" s="18" t="s">
        <v>113</v>
      </c>
      <c r="EG231" s="18" t="s">
        <v>5148</v>
      </c>
      <c r="EH231" s="18" t="s">
        <v>5203</v>
      </c>
      <c r="EI231" s="18" t="s">
        <v>5204</v>
      </c>
      <c r="EJ231" s="18" t="s">
        <v>5422</v>
      </c>
      <c r="EK231" s="18" t="s">
        <v>113</v>
      </c>
      <c r="EN231" s="18" t="s">
        <v>113</v>
      </c>
      <c r="EO231" s="18" t="s">
        <v>113</v>
      </c>
      <c r="EP231" s="18" t="s">
        <v>113</v>
      </c>
      <c r="EQ231" s="18" t="s">
        <v>113</v>
      </c>
      <c r="ER231" s="18" t="s">
        <v>5206</v>
      </c>
      <c r="ES231" s="18" t="s">
        <v>5153</v>
      </c>
      <c r="ET231" s="18" t="s">
        <v>5154</v>
      </c>
      <c r="EU231" s="18" t="s">
        <v>5318</v>
      </c>
      <c r="EV231" s="18" t="s">
        <v>5305</v>
      </c>
      <c r="EW231" s="18" t="s">
        <v>5291</v>
      </c>
      <c r="EX231" s="18" t="s">
        <v>5158</v>
      </c>
      <c r="EY231" s="18" t="s">
        <v>5248</v>
      </c>
      <c r="EZ231" s="18" t="s">
        <v>5995</v>
      </c>
    </row>
    <row r="232" spans="1:158" ht="10.5" customHeight="1" x14ac:dyDescent="0.2">
      <c r="A232" s="16">
        <v>41</v>
      </c>
      <c r="B232" s="16" t="s">
        <v>2130</v>
      </c>
      <c r="C232" s="16" t="s">
        <v>2129</v>
      </c>
      <c r="D232" s="16">
        <v>60796</v>
      </c>
      <c r="E232" s="16" t="s">
        <v>6658</v>
      </c>
      <c r="F232" s="18" t="s">
        <v>2129</v>
      </c>
      <c r="G232" s="18" t="s">
        <v>106</v>
      </c>
      <c r="H232" s="15" t="s">
        <v>5127</v>
      </c>
      <c r="I232" s="18">
        <v>20</v>
      </c>
      <c r="J232" s="18">
        <v>14</v>
      </c>
      <c r="K232" s="18">
        <v>6</v>
      </c>
      <c r="M232" s="18" t="s">
        <v>5183</v>
      </c>
      <c r="N232" s="18" t="s">
        <v>5996</v>
      </c>
      <c r="O232" s="18">
        <v>46978</v>
      </c>
      <c r="T232" s="18" t="s">
        <v>111</v>
      </c>
      <c r="U232" s="18" t="s">
        <v>5123</v>
      </c>
      <c r="V232" s="18" t="s">
        <v>113</v>
      </c>
      <c r="W232" s="18" t="s">
        <v>5211</v>
      </c>
      <c r="Y232" s="18" t="s">
        <v>5162</v>
      </c>
      <c r="Z232" s="18" t="s">
        <v>113</v>
      </c>
      <c r="AA232" s="18" t="s">
        <v>5163</v>
      </c>
      <c r="AB232" s="18" t="s">
        <v>179</v>
      </c>
      <c r="AC232" s="18" t="s">
        <v>111</v>
      </c>
      <c r="AD232" s="18" t="s">
        <v>111</v>
      </c>
      <c r="AE232" s="18" t="s">
        <v>111</v>
      </c>
      <c r="AF232" s="18" t="s">
        <v>111</v>
      </c>
      <c r="AG232" s="18" t="s">
        <v>5127</v>
      </c>
      <c r="AH232" s="18" t="s">
        <v>111</v>
      </c>
      <c r="AI232" s="18">
        <v>1</v>
      </c>
      <c r="AK232" s="18" t="s">
        <v>5164</v>
      </c>
      <c r="AN232" s="18">
        <v>0</v>
      </c>
      <c r="AO232" s="18" t="s">
        <v>5186</v>
      </c>
      <c r="AP232" s="18" t="s">
        <v>5997</v>
      </c>
      <c r="AQ232" s="18" t="s">
        <v>5252</v>
      </c>
      <c r="AR232" s="18" t="s">
        <v>179</v>
      </c>
      <c r="AT232" s="17">
        <f>(365*D232*0.7)/1000</f>
        <v>15533.377999999999</v>
      </c>
      <c r="AU232" s="17">
        <f t="shared" si="8"/>
        <v>0</v>
      </c>
      <c r="AV232" s="18">
        <v>0</v>
      </c>
      <c r="AW232" s="18">
        <v>0</v>
      </c>
      <c r="AY232" s="18" t="s">
        <v>164</v>
      </c>
      <c r="BG232" s="18" t="s">
        <v>164</v>
      </c>
      <c r="BQ232" s="18">
        <f>142808/1000</f>
        <v>142.80799999999999</v>
      </c>
      <c r="BR232" s="18">
        <f>94199/1000</f>
        <v>94.198999999999998</v>
      </c>
      <c r="BS232" s="18">
        <f>23367/1000</f>
        <v>23.367000000000001</v>
      </c>
      <c r="BT232" s="18">
        <f>99240/1000</f>
        <v>99.24</v>
      </c>
      <c r="BU232" s="18">
        <v>0</v>
      </c>
      <c r="BV232" s="18">
        <f>SUM(BQ232:BU232)</f>
        <v>359.61400000000003</v>
      </c>
      <c r="BW232" s="15">
        <f t="shared" si="10"/>
        <v>359.61400000000003</v>
      </c>
      <c r="BY232" s="18" t="s">
        <v>5998</v>
      </c>
      <c r="BZ232" s="18" t="s">
        <v>5240</v>
      </c>
      <c r="CD232" s="18" t="s">
        <v>5127</v>
      </c>
      <c r="CE232" s="18" t="s">
        <v>111</v>
      </c>
      <c r="CF232" s="18" t="s">
        <v>5135</v>
      </c>
      <c r="CG232" s="18" t="s">
        <v>5999</v>
      </c>
      <c r="CH232" s="18" t="s">
        <v>111</v>
      </c>
      <c r="CI232" s="18" t="s">
        <v>5195</v>
      </c>
      <c r="CJ232" s="18" t="s">
        <v>5196</v>
      </c>
      <c r="CK232" s="18" t="s">
        <v>179</v>
      </c>
      <c r="CL232" s="18">
        <v>1</v>
      </c>
      <c r="CM232" s="18">
        <v>0</v>
      </c>
      <c r="CN232" s="18">
        <v>0</v>
      </c>
      <c r="CO232" s="18">
        <v>0</v>
      </c>
      <c r="CP232" s="18">
        <v>1</v>
      </c>
      <c r="CQ232" s="18">
        <v>0</v>
      </c>
      <c r="CR232" s="18">
        <v>0</v>
      </c>
      <c r="CS232" s="18" t="s">
        <v>5141</v>
      </c>
      <c r="CT232" s="18">
        <v>0</v>
      </c>
      <c r="CU232" s="18">
        <v>1</v>
      </c>
      <c r="CV232" s="18">
        <v>0</v>
      </c>
      <c r="CX232" s="18">
        <v>1</v>
      </c>
      <c r="CY232" s="18">
        <v>1</v>
      </c>
      <c r="CZ232" s="18">
        <v>0</v>
      </c>
      <c r="DA232" s="18">
        <v>1</v>
      </c>
      <c r="DB232" s="18">
        <v>1</v>
      </c>
      <c r="DC232" s="18">
        <v>1</v>
      </c>
      <c r="DD232" s="18">
        <v>1</v>
      </c>
      <c r="DE232" s="18">
        <v>0</v>
      </c>
      <c r="DF232" s="18" t="s">
        <v>5141</v>
      </c>
      <c r="DG232" s="18">
        <v>1</v>
      </c>
      <c r="DH232" s="18">
        <v>1</v>
      </c>
      <c r="DI232" s="18">
        <v>1</v>
      </c>
      <c r="DK232" s="18">
        <v>1</v>
      </c>
      <c r="DL232" s="18">
        <v>0</v>
      </c>
      <c r="DM232" s="18" t="s">
        <v>5127</v>
      </c>
      <c r="DN232" s="18" t="s">
        <v>5172</v>
      </c>
      <c r="DO232" s="18" t="s">
        <v>5259</v>
      </c>
      <c r="DP232" s="18" t="s">
        <v>113</v>
      </c>
      <c r="DS232" s="18">
        <v>0</v>
      </c>
      <c r="DT232" s="18">
        <v>0</v>
      </c>
      <c r="DU232" s="18">
        <v>1</v>
      </c>
      <c r="DV232" s="18" t="s">
        <v>5342</v>
      </c>
      <c r="DX232" s="18" t="s">
        <v>5145</v>
      </c>
      <c r="DY232" s="18" t="s">
        <v>106</v>
      </c>
      <c r="DZ232" s="18" t="s">
        <v>113</v>
      </c>
      <c r="EA232" s="18" t="s">
        <v>5146</v>
      </c>
      <c r="EB232" s="18">
        <v>522805</v>
      </c>
      <c r="EC232" s="18" t="s">
        <v>113</v>
      </c>
      <c r="ED232" s="18" t="s">
        <v>5176</v>
      </c>
      <c r="EE232" s="18" t="s">
        <v>113</v>
      </c>
      <c r="EF232" s="18" t="s">
        <v>113</v>
      </c>
      <c r="EG232" s="18" t="s">
        <v>5148</v>
      </c>
      <c r="EH232" s="18" t="s">
        <v>5149</v>
      </c>
      <c r="EI232" s="18" t="s">
        <v>5150</v>
      </c>
      <c r="EJ232" s="18" t="s">
        <v>5422</v>
      </c>
      <c r="EN232" s="18" t="s">
        <v>113</v>
      </c>
      <c r="EO232" s="18" t="s">
        <v>113</v>
      </c>
      <c r="EP232" s="18" t="s">
        <v>113</v>
      </c>
      <c r="EQ232" s="18" t="s">
        <v>113</v>
      </c>
      <c r="ER232" s="18" t="s">
        <v>5152</v>
      </c>
      <c r="ES232" s="18" t="s">
        <v>5153</v>
      </c>
      <c r="ET232" s="18" t="s">
        <v>5154</v>
      </c>
      <c r="EU232" s="18" t="s">
        <v>5318</v>
      </c>
      <c r="EV232" s="18" t="s">
        <v>5276</v>
      </c>
      <c r="EW232" s="18" t="s">
        <v>5264</v>
      </c>
      <c r="EX232" s="18" t="s">
        <v>5158</v>
      </c>
      <c r="EY232" s="18" t="s">
        <v>5248</v>
      </c>
      <c r="EZ232" s="18" t="s">
        <v>6000</v>
      </c>
    </row>
    <row r="233" spans="1:158" ht="10.5" customHeight="1" x14ac:dyDescent="0.2">
      <c r="A233" s="16">
        <v>41</v>
      </c>
      <c r="B233" s="16" t="s">
        <v>2144</v>
      </c>
      <c r="C233" s="16" t="s">
        <v>2143</v>
      </c>
      <c r="D233" s="16">
        <v>10843</v>
      </c>
      <c r="E233" s="16" t="s">
        <v>6656</v>
      </c>
      <c r="F233" s="18" t="s">
        <v>2143</v>
      </c>
      <c r="G233" s="18" t="s">
        <v>106</v>
      </c>
      <c r="H233" s="15" t="s">
        <v>5127</v>
      </c>
      <c r="I233" s="18">
        <v>6</v>
      </c>
      <c r="J233" s="18">
        <v>3</v>
      </c>
      <c r="K233" s="18">
        <v>3</v>
      </c>
      <c r="L233" s="18">
        <v>0</v>
      </c>
      <c r="M233" s="18" t="s">
        <v>5183</v>
      </c>
      <c r="N233" s="18" t="s">
        <v>6001</v>
      </c>
      <c r="O233" s="18">
        <v>46000</v>
      </c>
      <c r="T233" s="18" t="s">
        <v>111</v>
      </c>
      <c r="U233" s="18" t="s">
        <v>5250</v>
      </c>
      <c r="V233" s="18" t="s">
        <v>113</v>
      </c>
      <c r="W233" s="18" t="s">
        <v>113</v>
      </c>
      <c r="Y233" s="18" t="s">
        <v>5232</v>
      </c>
      <c r="Z233" s="18" t="s">
        <v>106</v>
      </c>
      <c r="AA233" s="18" t="s">
        <v>5163</v>
      </c>
      <c r="AB233" s="18" t="s">
        <v>179</v>
      </c>
      <c r="AC233" s="18" t="s">
        <v>5127</v>
      </c>
      <c r="AD233" s="18" t="s">
        <v>5127</v>
      </c>
      <c r="AE233" s="18" t="s">
        <v>5127</v>
      </c>
      <c r="AF233" s="18" t="s">
        <v>5127</v>
      </c>
      <c r="AG233" s="18" t="s">
        <v>5127</v>
      </c>
      <c r="AH233" s="18" t="s">
        <v>111</v>
      </c>
      <c r="AI233" s="18">
        <v>1</v>
      </c>
      <c r="AK233" s="18" t="s">
        <v>5279</v>
      </c>
      <c r="AN233" s="18">
        <v>200</v>
      </c>
      <c r="AO233" s="18" t="s">
        <v>5165</v>
      </c>
      <c r="AP233" s="18" t="s">
        <v>6002</v>
      </c>
      <c r="AQ233" s="18" t="s">
        <v>5252</v>
      </c>
      <c r="AR233" s="18" t="s">
        <v>5168</v>
      </c>
      <c r="AT233" s="17">
        <f>(365*D233*0.7)/1000</f>
        <v>2770.3865000000001</v>
      </c>
      <c r="AU233" s="17">
        <f t="shared" si="8"/>
        <v>20</v>
      </c>
      <c r="AV233" s="18">
        <v>20</v>
      </c>
      <c r="AW233" s="18">
        <v>0</v>
      </c>
      <c r="AY233" s="18" t="s">
        <v>5334</v>
      </c>
      <c r="BG233" s="18" t="s">
        <v>5190</v>
      </c>
      <c r="BQ233" s="18">
        <v>72</v>
      </c>
      <c r="BR233" s="18">
        <v>48</v>
      </c>
      <c r="BS233" s="18">
        <v>24</v>
      </c>
      <c r="BT233" s="18">
        <v>36</v>
      </c>
      <c r="BU233" s="18">
        <v>0</v>
      </c>
      <c r="BV233" s="18">
        <v>180</v>
      </c>
      <c r="BW233" s="15">
        <f t="shared" si="10"/>
        <v>180</v>
      </c>
      <c r="BY233" s="18" t="s">
        <v>5134</v>
      </c>
      <c r="BZ233" s="18" t="s">
        <v>193</v>
      </c>
      <c r="CD233" s="18" t="s">
        <v>5127</v>
      </c>
      <c r="CE233" s="18" t="s">
        <v>111</v>
      </c>
      <c r="CF233" s="18" t="s">
        <v>5135</v>
      </c>
      <c r="CG233" s="18" t="s">
        <v>5990</v>
      </c>
      <c r="CH233" s="18" t="s">
        <v>5241</v>
      </c>
      <c r="CI233" s="18" t="s">
        <v>5138</v>
      </c>
      <c r="CJ233" s="18" t="s">
        <v>5196</v>
      </c>
      <c r="CK233" s="18" t="s">
        <v>179</v>
      </c>
      <c r="CL233" s="18">
        <v>1</v>
      </c>
      <c r="CM233" s="18">
        <v>0</v>
      </c>
      <c r="CN233" s="18">
        <v>0</v>
      </c>
      <c r="CO233" s="18">
        <v>1</v>
      </c>
      <c r="CP233" s="18">
        <v>0</v>
      </c>
      <c r="CQ233" s="18">
        <v>1</v>
      </c>
      <c r="CR233" s="18">
        <v>0</v>
      </c>
      <c r="CS233" s="18" t="s">
        <v>5141</v>
      </c>
      <c r="CT233" s="18">
        <v>1</v>
      </c>
      <c r="CU233" s="18">
        <v>1</v>
      </c>
      <c r="CV233" s="18" t="s">
        <v>5141</v>
      </c>
      <c r="CX233" s="18">
        <v>1</v>
      </c>
      <c r="CY233" s="18">
        <v>1</v>
      </c>
      <c r="CZ233" s="18">
        <v>1</v>
      </c>
      <c r="DA233" s="18">
        <v>1</v>
      </c>
      <c r="DB233" s="18">
        <v>1</v>
      </c>
      <c r="DC233" s="18">
        <v>2</v>
      </c>
      <c r="DD233" s="18">
        <v>1</v>
      </c>
      <c r="DE233" s="18" t="s">
        <v>5141</v>
      </c>
      <c r="DF233" s="18" t="s">
        <v>5141</v>
      </c>
      <c r="DG233" s="18">
        <v>1</v>
      </c>
      <c r="DH233" s="18">
        <v>1</v>
      </c>
      <c r="DI233" s="18" t="s">
        <v>5141</v>
      </c>
      <c r="DK233" s="18">
        <v>0</v>
      </c>
      <c r="DL233" s="18">
        <v>1</v>
      </c>
      <c r="DM233" s="18" t="s">
        <v>5127</v>
      </c>
      <c r="DN233" s="18" t="s">
        <v>5172</v>
      </c>
      <c r="DO233" s="18" t="s">
        <v>5259</v>
      </c>
      <c r="DP233" s="18" t="s">
        <v>113</v>
      </c>
      <c r="DS233" s="18">
        <v>0</v>
      </c>
      <c r="DT233" s="18">
        <v>0</v>
      </c>
      <c r="DU233" s="18">
        <v>1</v>
      </c>
      <c r="DV233" s="18" t="s">
        <v>5403</v>
      </c>
      <c r="DX233" s="18" t="s">
        <v>5222</v>
      </c>
      <c r="DY233" s="18" t="s">
        <v>106</v>
      </c>
      <c r="DZ233" s="18" t="s">
        <v>113</v>
      </c>
      <c r="EA233" s="18" t="s">
        <v>5146</v>
      </c>
      <c r="EB233" s="18">
        <v>180</v>
      </c>
      <c r="EC233" s="18" t="s">
        <v>106</v>
      </c>
      <c r="ED233" s="18" t="s">
        <v>5176</v>
      </c>
      <c r="EE233" s="18" t="s">
        <v>113</v>
      </c>
      <c r="EF233" s="18" t="s">
        <v>113</v>
      </c>
      <c r="EG233" s="18" t="s">
        <v>5404</v>
      </c>
      <c r="EH233" s="18" t="s">
        <v>5203</v>
      </c>
      <c r="EI233" s="18" t="s">
        <v>5204</v>
      </c>
      <c r="EJ233" s="18" t="s">
        <v>5530</v>
      </c>
      <c r="EN233" s="18" t="s">
        <v>113</v>
      </c>
      <c r="EO233" s="18" t="s">
        <v>113</v>
      </c>
      <c r="EP233" s="18" t="s">
        <v>113</v>
      </c>
      <c r="EQ233" s="18" t="s">
        <v>113</v>
      </c>
      <c r="ER233" s="18" t="s">
        <v>5152</v>
      </c>
      <c r="ES233" s="18" t="s">
        <v>5153</v>
      </c>
      <c r="ET233" s="18" t="s">
        <v>5154</v>
      </c>
      <c r="EU233" s="18" t="s">
        <v>5155</v>
      </c>
      <c r="EV233" s="18" t="s">
        <v>6003</v>
      </c>
      <c r="EW233" s="18" t="s">
        <v>179</v>
      </c>
      <c r="EX233" s="18" t="s">
        <v>5158</v>
      </c>
      <c r="EY233" s="18" t="s">
        <v>5229</v>
      </c>
      <c r="EZ233" s="18" t="s">
        <v>5160</v>
      </c>
      <c r="FA233" s="18" t="s">
        <v>144</v>
      </c>
      <c r="FB233" s="18" t="s">
        <v>5161</v>
      </c>
    </row>
    <row r="234" spans="1:158" ht="10.5" customHeight="1" x14ac:dyDescent="0.2">
      <c r="A234" s="16">
        <v>41</v>
      </c>
      <c r="B234" s="16" t="s">
        <v>2156</v>
      </c>
      <c r="C234" s="16" t="s">
        <v>2155</v>
      </c>
      <c r="D234" s="16">
        <v>4532</v>
      </c>
      <c r="E234" s="16" t="s">
        <v>6656</v>
      </c>
      <c r="F234" s="18" t="s">
        <v>2155</v>
      </c>
      <c r="G234" s="18" t="s">
        <v>113</v>
      </c>
      <c r="H234" s="15" t="s">
        <v>111</v>
      </c>
      <c r="AT234" s="17">
        <f>(365*D234*0.7)/1000</f>
        <v>1157.9259999999999</v>
      </c>
      <c r="AU234" s="17">
        <f t="shared" si="8"/>
        <v>0</v>
      </c>
      <c r="BW234" s="15">
        <f t="shared" si="10"/>
        <v>0</v>
      </c>
    </row>
    <row r="235" spans="1:158" ht="10.5" customHeight="1" x14ac:dyDescent="0.2">
      <c r="A235" s="16">
        <v>41</v>
      </c>
      <c r="B235" s="16" t="s">
        <v>2169</v>
      </c>
      <c r="C235" s="16" t="s">
        <v>2168</v>
      </c>
      <c r="D235" s="16">
        <v>11984</v>
      </c>
      <c r="E235" s="16" t="s">
        <v>6656</v>
      </c>
      <c r="F235" s="18" t="s">
        <v>2168</v>
      </c>
      <c r="G235" s="18" t="s">
        <v>106</v>
      </c>
      <c r="H235" s="15" t="s">
        <v>5127</v>
      </c>
      <c r="I235" s="18">
        <v>54</v>
      </c>
      <c r="J235" s="18">
        <v>30</v>
      </c>
      <c r="K235" s="18">
        <v>24</v>
      </c>
      <c r="L235" s="18">
        <v>0</v>
      </c>
      <c r="M235" s="18" t="s">
        <v>5183</v>
      </c>
      <c r="N235" s="18" t="s">
        <v>6004</v>
      </c>
      <c r="O235" s="18">
        <v>47619</v>
      </c>
      <c r="T235" s="18" t="s">
        <v>6005</v>
      </c>
      <c r="U235" s="18" t="s">
        <v>5123</v>
      </c>
      <c r="V235" s="18" t="s">
        <v>106</v>
      </c>
      <c r="W235" s="18" t="s">
        <v>5211</v>
      </c>
      <c r="Y235" s="18" t="s">
        <v>5555</v>
      </c>
      <c r="Z235" s="18" t="s">
        <v>106</v>
      </c>
      <c r="AA235" s="18" t="s">
        <v>5163</v>
      </c>
      <c r="AB235" s="18" t="s">
        <v>179</v>
      </c>
      <c r="AC235" s="18" t="s">
        <v>5127</v>
      </c>
      <c r="AD235" s="18" t="s">
        <v>5127</v>
      </c>
      <c r="AE235" s="18" t="s">
        <v>5127</v>
      </c>
      <c r="AF235" s="18" t="s">
        <v>5127</v>
      </c>
      <c r="AG235" s="18" t="s">
        <v>5127</v>
      </c>
      <c r="AH235" s="18" t="s">
        <v>5127</v>
      </c>
      <c r="AI235" s="18">
        <v>1</v>
      </c>
      <c r="AK235" s="18" t="s">
        <v>5164</v>
      </c>
      <c r="AN235" s="18">
        <v>1168</v>
      </c>
      <c r="AO235" s="18" t="s">
        <v>5186</v>
      </c>
      <c r="AP235" s="18" t="s">
        <v>6006</v>
      </c>
      <c r="AQ235" s="18" t="s">
        <v>6007</v>
      </c>
      <c r="AR235" s="18" t="s">
        <v>5132</v>
      </c>
      <c r="AT235" s="17">
        <f>(365*D235*0.7)/1000</f>
        <v>3061.9119999999998</v>
      </c>
      <c r="AU235" s="17">
        <f t="shared" si="8"/>
        <v>192</v>
      </c>
      <c r="AV235" s="18">
        <v>2</v>
      </c>
      <c r="AW235" s="18">
        <v>190</v>
      </c>
      <c r="AY235" s="18" t="s">
        <v>6008</v>
      </c>
      <c r="AZ235" s="18">
        <f>1000/1000</f>
        <v>1</v>
      </c>
      <c r="BA235" s="18">
        <f>1000/1000</f>
        <v>1</v>
      </c>
      <c r="BB235" s="18">
        <v>5000</v>
      </c>
      <c r="BD235" s="18">
        <f>3000/1000</f>
        <v>3</v>
      </c>
      <c r="BE235" s="18">
        <v>5000</v>
      </c>
      <c r="BG235" s="18" t="s">
        <v>164</v>
      </c>
      <c r="BH235" s="18">
        <f>10000/1000</f>
        <v>10</v>
      </c>
      <c r="BI235" s="18">
        <f>5000/1000</f>
        <v>5</v>
      </c>
      <c r="BJ235" s="18">
        <f>5000/1000</f>
        <v>5</v>
      </c>
      <c r="BQ235" s="18">
        <v>433</v>
      </c>
      <c r="BR235" s="18">
        <v>258</v>
      </c>
      <c r="BS235" s="18">
        <v>208</v>
      </c>
      <c r="BT235" s="18">
        <v>228</v>
      </c>
      <c r="BU235" s="18">
        <v>41</v>
      </c>
      <c r="BV235" s="18">
        <v>1168</v>
      </c>
      <c r="BW235" s="15">
        <f t="shared" si="10"/>
        <v>1168</v>
      </c>
      <c r="BY235" s="18" t="s">
        <v>5134</v>
      </c>
      <c r="BZ235" s="18" t="s">
        <v>193</v>
      </c>
      <c r="CD235" s="18" t="s">
        <v>5127</v>
      </c>
      <c r="CE235" s="18" t="s">
        <v>5127</v>
      </c>
      <c r="CF235" s="18" t="s">
        <v>5135</v>
      </c>
      <c r="CG235" s="18" t="s">
        <v>5427</v>
      </c>
      <c r="CH235" s="18" t="s">
        <v>5241</v>
      </c>
      <c r="CI235" s="18" t="s">
        <v>5195</v>
      </c>
      <c r="CJ235" s="18" t="s">
        <v>5196</v>
      </c>
      <c r="CK235" s="18" t="s">
        <v>5197</v>
      </c>
      <c r="CL235" s="18">
        <v>3</v>
      </c>
      <c r="CM235" s="18">
        <v>0</v>
      </c>
      <c r="CN235" s="18">
        <v>0</v>
      </c>
      <c r="CO235" s="18">
        <v>1</v>
      </c>
      <c r="CP235" s="18">
        <v>5</v>
      </c>
      <c r="CQ235" s="18">
        <v>1</v>
      </c>
      <c r="CR235" s="18">
        <v>0</v>
      </c>
      <c r="CS235" s="18" t="s">
        <v>5141</v>
      </c>
      <c r="CT235" s="18">
        <v>1</v>
      </c>
      <c r="CU235" s="18">
        <v>0</v>
      </c>
      <c r="CV235" s="18" t="s">
        <v>5141</v>
      </c>
      <c r="CX235" s="18">
        <v>0</v>
      </c>
      <c r="CY235" s="18">
        <v>1</v>
      </c>
      <c r="CZ235" s="18">
        <v>0</v>
      </c>
      <c r="DA235" s="18">
        <v>1</v>
      </c>
      <c r="DB235" s="18">
        <v>0</v>
      </c>
      <c r="DC235" s="18">
        <v>0</v>
      </c>
      <c r="DD235" s="18">
        <v>0</v>
      </c>
      <c r="DE235" s="18">
        <v>0</v>
      </c>
      <c r="DF235" s="18" t="s">
        <v>5141</v>
      </c>
      <c r="DG235" s="18">
        <v>0</v>
      </c>
      <c r="DH235" s="18">
        <v>0</v>
      </c>
      <c r="DI235" s="18" t="s">
        <v>5141</v>
      </c>
      <c r="DK235" s="18">
        <v>0</v>
      </c>
      <c r="DL235" s="18">
        <v>1</v>
      </c>
      <c r="DM235" s="18" t="s">
        <v>5127</v>
      </c>
      <c r="DN235" s="18" t="s">
        <v>5172</v>
      </c>
      <c r="DO235" s="18" t="s">
        <v>5665</v>
      </c>
      <c r="DP235" s="18" t="s">
        <v>113</v>
      </c>
      <c r="DS235" s="18">
        <v>0</v>
      </c>
      <c r="DT235" s="18">
        <v>1</v>
      </c>
      <c r="DU235" s="18">
        <v>1</v>
      </c>
      <c r="DV235" s="18" t="s">
        <v>5144</v>
      </c>
      <c r="DX235" s="18" t="s">
        <v>5222</v>
      </c>
      <c r="DY235" s="18" t="s">
        <v>106</v>
      </c>
      <c r="DZ235" s="18" t="s">
        <v>113</v>
      </c>
      <c r="EA235" s="18" t="s">
        <v>5453</v>
      </c>
      <c r="EB235" s="18">
        <v>1168</v>
      </c>
      <c r="EC235" s="18" t="s">
        <v>113</v>
      </c>
      <c r="ED235" s="18" t="s">
        <v>5176</v>
      </c>
      <c r="EE235" s="18" t="s">
        <v>106</v>
      </c>
      <c r="EF235" s="18" t="s">
        <v>113</v>
      </c>
      <c r="EG235" s="18" t="s">
        <v>5148</v>
      </c>
      <c r="EH235" s="18" t="s">
        <v>5203</v>
      </c>
      <c r="EI235" s="18" t="s">
        <v>5204</v>
      </c>
      <c r="EJ235" s="18" t="s">
        <v>5245</v>
      </c>
      <c r="EK235" s="18" t="s">
        <v>113</v>
      </c>
      <c r="EN235" s="18" t="s">
        <v>113</v>
      </c>
      <c r="EO235" s="18" t="s">
        <v>113</v>
      </c>
      <c r="EP235" s="18" t="s">
        <v>113</v>
      </c>
      <c r="EQ235" s="18" t="s">
        <v>113</v>
      </c>
      <c r="ER235" s="18" t="s">
        <v>5206</v>
      </c>
      <c r="ES235" s="18" t="s">
        <v>5153</v>
      </c>
      <c r="ET235" s="18" t="s">
        <v>5154</v>
      </c>
      <c r="EU235" s="18" t="s">
        <v>5155</v>
      </c>
      <c r="EV235" s="18" t="s">
        <v>6009</v>
      </c>
      <c r="EW235" s="18" t="s">
        <v>6010</v>
      </c>
      <c r="EX235" s="18" t="s">
        <v>5158</v>
      </c>
      <c r="EY235" s="18" t="s">
        <v>5229</v>
      </c>
      <c r="EZ235" s="18" t="s">
        <v>6011</v>
      </c>
      <c r="FA235" s="18" t="s">
        <v>144</v>
      </c>
      <c r="FB235" s="18" t="s">
        <v>5161</v>
      </c>
    </row>
    <row r="236" spans="1:158" ht="10.5" customHeight="1" x14ac:dyDescent="0.2">
      <c r="A236" s="16">
        <v>41</v>
      </c>
      <c r="B236" s="16" t="s">
        <v>1874</v>
      </c>
      <c r="C236" s="16" t="s">
        <v>1875</v>
      </c>
      <c r="D236" s="16">
        <v>5874</v>
      </c>
      <c r="E236" s="16" t="s">
        <v>6656</v>
      </c>
      <c r="H236" s="15" t="s">
        <v>6661</v>
      </c>
      <c r="AT236" s="17">
        <f>(365*D236*0.7)/1000</f>
        <v>1500.807</v>
      </c>
      <c r="AU236" s="17">
        <f t="shared" si="8"/>
        <v>0</v>
      </c>
      <c r="BW236" s="15">
        <f t="shared" si="10"/>
        <v>0</v>
      </c>
    </row>
    <row r="237" spans="1:158" ht="10.5" customHeight="1" x14ac:dyDescent="0.2">
      <c r="A237" s="16">
        <v>41</v>
      </c>
      <c r="B237" s="16" t="s">
        <v>2185</v>
      </c>
      <c r="C237" s="16" t="s">
        <v>2184</v>
      </c>
      <c r="D237" s="16">
        <v>6215</v>
      </c>
      <c r="E237" s="16" t="s">
        <v>6656</v>
      </c>
      <c r="F237" s="18" t="s">
        <v>2184</v>
      </c>
      <c r="G237" s="18" t="s">
        <v>113</v>
      </c>
      <c r="H237" s="15" t="s">
        <v>111</v>
      </c>
      <c r="AT237" s="17">
        <f>(365*D237*0.7)/1000</f>
        <v>1587.9324999999999</v>
      </c>
      <c r="AU237" s="17">
        <f t="shared" si="8"/>
        <v>0</v>
      </c>
      <c r="BW237" s="15">
        <f t="shared" si="10"/>
        <v>0</v>
      </c>
    </row>
    <row r="238" spans="1:158" ht="10.5" customHeight="1" x14ac:dyDescent="0.2">
      <c r="A238" s="16">
        <v>41</v>
      </c>
      <c r="B238" s="16" t="s">
        <v>2197</v>
      </c>
      <c r="C238" s="16" t="s">
        <v>2196</v>
      </c>
      <c r="D238" s="16">
        <v>12766</v>
      </c>
      <c r="E238" s="16" t="s">
        <v>6656</v>
      </c>
      <c r="F238" s="18" t="s">
        <v>2196</v>
      </c>
      <c r="G238" s="18" t="s">
        <v>106</v>
      </c>
      <c r="H238" s="15" t="s">
        <v>5127</v>
      </c>
      <c r="I238" s="18">
        <v>16</v>
      </c>
      <c r="J238" s="18">
        <v>11</v>
      </c>
      <c r="K238" s="18">
        <v>6</v>
      </c>
      <c r="L238" s="18">
        <v>0</v>
      </c>
      <c r="M238" s="18" t="s">
        <v>5183</v>
      </c>
      <c r="N238" s="18" t="s">
        <v>6012</v>
      </c>
      <c r="O238" s="18">
        <v>47631</v>
      </c>
      <c r="T238" s="18" t="s">
        <v>111</v>
      </c>
      <c r="U238" s="18" t="s">
        <v>5250</v>
      </c>
      <c r="V238" s="18" t="s">
        <v>113</v>
      </c>
      <c r="W238" s="18" t="s">
        <v>5211</v>
      </c>
      <c r="Y238" s="18" t="s">
        <v>5656</v>
      </c>
      <c r="Z238" s="18" t="s">
        <v>106</v>
      </c>
      <c r="AA238" s="18" t="s">
        <v>5267</v>
      </c>
      <c r="AB238" s="18" t="s">
        <v>179</v>
      </c>
      <c r="AC238" s="18" t="s">
        <v>5127</v>
      </c>
      <c r="AD238" s="18" t="s">
        <v>5127</v>
      </c>
      <c r="AE238" s="18" t="s">
        <v>5127</v>
      </c>
      <c r="AF238" s="18" t="s">
        <v>111</v>
      </c>
      <c r="AG238" s="18" t="s">
        <v>5127</v>
      </c>
      <c r="AH238" s="18" t="s">
        <v>111</v>
      </c>
      <c r="AI238" s="18">
        <v>1</v>
      </c>
      <c r="AK238" s="18" t="s">
        <v>5164</v>
      </c>
      <c r="AN238" s="18">
        <v>901</v>
      </c>
      <c r="AO238" s="18" t="s">
        <v>5129</v>
      </c>
      <c r="AP238" s="18" t="s">
        <v>6013</v>
      </c>
      <c r="AQ238" s="18" t="s">
        <v>5252</v>
      </c>
      <c r="AR238" s="18" t="s">
        <v>5168</v>
      </c>
      <c r="AT238" s="17">
        <f>(365*D238*0.7)/1000</f>
        <v>3261.7130000000002</v>
      </c>
      <c r="AU238" s="17">
        <f t="shared" si="8"/>
        <v>139</v>
      </c>
      <c r="AV238" s="18">
        <v>139</v>
      </c>
      <c r="AW238" s="18">
        <v>0</v>
      </c>
      <c r="AY238" s="18" t="s">
        <v>164</v>
      </c>
      <c r="BG238" s="18" t="s">
        <v>5400</v>
      </c>
      <c r="BQ238" s="18">
        <v>239</v>
      </c>
      <c r="BR238" s="18">
        <v>386</v>
      </c>
      <c r="BS238" s="18">
        <v>53</v>
      </c>
      <c r="BT238" s="18">
        <v>62</v>
      </c>
      <c r="BU238" s="18">
        <v>161</v>
      </c>
      <c r="BV238" s="18">
        <v>901</v>
      </c>
      <c r="BW238" s="15">
        <f t="shared" si="10"/>
        <v>901</v>
      </c>
      <c r="BY238" s="18" t="s">
        <v>5134</v>
      </c>
      <c r="BZ238" s="18" t="s">
        <v>5688</v>
      </c>
      <c r="CD238" s="18" t="s">
        <v>5127</v>
      </c>
      <c r="CE238" s="18" t="s">
        <v>111</v>
      </c>
      <c r="CF238" s="18" t="s">
        <v>5135</v>
      </c>
      <c r="CG238" s="18" t="s">
        <v>5990</v>
      </c>
      <c r="CH238" s="18" t="s">
        <v>111</v>
      </c>
      <c r="CI238" s="18" t="s">
        <v>5195</v>
      </c>
      <c r="CJ238" s="18" t="s">
        <v>5196</v>
      </c>
      <c r="CK238" s="18" t="s">
        <v>179</v>
      </c>
      <c r="CL238" s="18">
        <v>0</v>
      </c>
      <c r="CM238" s="18">
        <v>1</v>
      </c>
      <c r="CN238" s="18">
        <v>0</v>
      </c>
      <c r="CO238" s="18">
        <v>0</v>
      </c>
      <c r="CP238" s="18">
        <v>0</v>
      </c>
      <c r="CQ238" s="18">
        <v>0</v>
      </c>
      <c r="CR238" s="18">
        <v>0</v>
      </c>
      <c r="CS238" s="18" t="s">
        <v>5141</v>
      </c>
      <c r="CT238" s="18">
        <v>0</v>
      </c>
      <c r="CU238" s="18">
        <v>0</v>
      </c>
      <c r="CV238" s="18">
        <v>0</v>
      </c>
      <c r="CX238" s="18">
        <v>1</v>
      </c>
      <c r="CY238" s="18">
        <v>0</v>
      </c>
      <c r="CZ238" s="18">
        <v>1</v>
      </c>
      <c r="DA238" s="18">
        <v>1</v>
      </c>
      <c r="DB238" s="18">
        <v>1</v>
      </c>
      <c r="DC238" s="18">
        <v>1</v>
      </c>
      <c r="DD238" s="18">
        <v>1</v>
      </c>
      <c r="DE238" s="18">
        <v>5</v>
      </c>
      <c r="DF238" s="18">
        <v>0</v>
      </c>
      <c r="DG238" s="18">
        <v>1</v>
      </c>
      <c r="DH238" s="18">
        <v>0</v>
      </c>
      <c r="DI238" s="18">
        <v>1</v>
      </c>
      <c r="DK238" s="18">
        <v>0</v>
      </c>
      <c r="DL238" s="18">
        <v>1</v>
      </c>
      <c r="DM238" s="18" t="s">
        <v>5127</v>
      </c>
      <c r="DN238" s="18" t="s">
        <v>5142</v>
      </c>
      <c r="DO238" s="18" t="s">
        <v>5259</v>
      </c>
      <c r="DP238" s="18" t="s">
        <v>113</v>
      </c>
      <c r="DS238" s="18">
        <v>0</v>
      </c>
      <c r="DT238" s="18">
        <v>1</v>
      </c>
      <c r="DU238" s="18">
        <v>0</v>
      </c>
      <c r="DV238" s="18" t="s">
        <v>5342</v>
      </c>
      <c r="DX238" s="18" t="s">
        <v>5145</v>
      </c>
      <c r="DY238" s="18" t="s">
        <v>106</v>
      </c>
      <c r="DZ238" s="18" t="s">
        <v>113</v>
      </c>
      <c r="EA238" s="18" t="s">
        <v>5146</v>
      </c>
      <c r="EB238" s="18">
        <v>139</v>
      </c>
      <c r="EC238" s="18" t="s">
        <v>106</v>
      </c>
      <c r="ED238" s="18" t="s">
        <v>5147</v>
      </c>
      <c r="EE238" s="18" t="s">
        <v>113</v>
      </c>
      <c r="EF238" s="18" t="s">
        <v>113</v>
      </c>
      <c r="EG238" s="18" t="s">
        <v>5148</v>
      </c>
      <c r="EH238" s="18" t="s">
        <v>5203</v>
      </c>
      <c r="EI238" s="18" t="s">
        <v>5204</v>
      </c>
      <c r="EJ238" s="18" t="s">
        <v>6014</v>
      </c>
      <c r="EN238" s="18" t="s">
        <v>113</v>
      </c>
      <c r="EO238" s="18" t="s">
        <v>113</v>
      </c>
      <c r="EP238" s="18" t="s">
        <v>113</v>
      </c>
      <c r="EQ238" s="18" t="s">
        <v>113</v>
      </c>
      <c r="ER238" s="18" t="s">
        <v>5206</v>
      </c>
      <c r="ES238" s="18" t="s">
        <v>5153</v>
      </c>
      <c r="ET238" s="18" t="s">
        <v>5154</v>
      </c>
      <c r="EU238" s="18" t="s">
        <v>5318</v>
      </c>
      <c r="EW238" s="18" t="s">
        <v>5346</v>
      </c>
      <c r="EX238" s="18" t="s">
        <v>5158</v>
      </c>
      <c r="EY238" s="18" t="s">
        <v>5229</v>
      </c>
      <c r="EZ238" s="18" t="s">
        <v>5308</v>
      </c>
    </row>
    <row r="239" spans="1:158" ht="10.5" customHeight="1" x14ac:dyDescent="0.2">
      <c r="A239" s="16">
        <v>41</v>
      </c>
      <c r="B239" s="16" t="s">
        <v>2206</v>
      </c>
      <c r="C239" s="16" t="s">
        <v>2205</v>
      </c>
      <c r="D239" s="16">
        <v>32890</v>
      </c>
      <c r="E239" s="16" t="s">
        <v>6658</v>
      </c>
      <c r="F239" s="18" t="s">
        <v>2205</v>
      </c>
      <c r="G239" s="18" t="s">
        <v>113</v>
      </c>
      <c r="H239" s="15" t="s">
        <v>111</v>
      </c>
      <c r="AT239" s="17">
        <f>(365*D239*0.7)/1000</f>
        <v>8403.3950000000004</v>
      </c>
      <c r="AU239" s="17">
        <f t="shared" si="8"/>
        <v>0</v>
      </c>
      <c r="BW239" s="15">
        <f t="shared" si="10"/>
        <v>0</v>
      </c>
    </row>
    <row r="240" spans="1:158" ht="10.5" customHeight="1" x14ac:dyDescent="0.2">
      <c r="A240" s="16">
        <v>41</v>
      </c>
      <c r="B240" s="16" t="s">
        <v>2223</v>
      </c>
      <c r="C240" s="16" t="s">
        <v>2222</v>
      </c>
      <c r="D240" s="16">
        <v>3620</v>
      </c>
      <c r="E240" s="16" t="s">
        <v>6656</v>
      </c>
      <c r="F240" s="18" t="s">
        <v>2222</v>
      </c>
      <c r="G240" s="18" t="s">
        <v>106</v>
      </c>
      <c r="H240" s="15" t="s">
        <v>5127</v>
      </c>
      <c r="I240" s="18">
        <v>4</v>
      </c>
      <c r="J240" s="18">
        <v>2</v>
      </c>
      <c r="K240" s="18">
        <v>2</v>
      </c>
      <c r="L240" s="18">
        <v>0</v>
      </c>
      <c r="M240" s="18" t="s">
        <v>5183</v>
      </c>
      <c r="N240" s="18" t="s">
        <v>6015</v>
      </c>
      <c r="O240" s="18">
        <v>46505</v>
      </c>
      <c r="T240" s="18" t="s">
        <v>111</v>
      </c>
      <c r="U240" s="18" t="s">
        <v>5250</v>
      </c>
      <c r="V240" s="18" t="s">
        <v>113</v>
      </c>
      <c r="W240" s="18" t="s">
        <v>113</v>
      </c>
      <c r="Y240" s="18" t="s">
        <v>5162</v>
      </c>
      <c r="Z240" s="18" t="s">
        <v>106</v>
      </c>
      <c r="AA240" s="18" t="s">
        <v>5163</v>
      </c>
      <c r="AB240" s="18" t="s">
        <v>5233</v>
      </c>
      <c r="AC240" s="18" t="s">
        <v>5127</v>
      </c>
      <c r="AD240" s="18" t="s">
        <v>5127</v>
      </c>
      <c r="AE240" s="18" t="s">
        <v>111</v>
      </c>
      <c r="AF240" s="18" t="s">
        <v>111</v>
      </c>
      <c r="AG240" s="18" t="s">
        <v>5127</v>
      </c>
      <c r="AH240" s="18" t="s">
        <v>111</v>
      </c>
      <c r="AI240" s="18">
        <v>1</v>
      </c>
      <c r="AK240" s="18" t="s">
        <v>5164</v>
      </c>
      <c r="AN240" s="18">
        <v>0</v>
      </c>
      <c r="AO240" s="18" t="s">
        <v>5391</v>
      </c>
      <c r="AP240" s="18" t="s">
        <v>6016</v>
      </c>
      <c r="AQ240" s="18" t="s">
        <v>5826</v>
      </c>
      <c r="AR240" s="18" t="s">
        <v>179</v>
      </c>
      <c r="AT240" s="17">
        <f>(365*D240*0.7)/1000</f>
        <v>924.90999999999985</v>
      </c>
      <c r="AU240" s="17">
        <f t="shared" si="8"/>
        <v>52</v>
      </c>
      <c r="AV240" s="18">
        <v>52</v>
      </c>
      <c r="AW240" s="18">
        <v>0</v>
      </c>
      <c r="AY240" s="18" t="s">
        <v>164</v>
      </c>
      <c r="BG240" s="18" t="s">
        <v>5281</v>
      </c>
      <c r="BQ240" s="18">
        <v>38</v>
      </c>
      <c r="BR240" s="18">
        <v>28</v>
      </c>
      <c r="BS240" s="18">
        <v>17</v>
      </c>
      <c r="BT240" s="18">
        <v>11</v>
      </c>
      <c r="BU240" s="18">
        <v>15</v>
      </c>
      <c r="BV240" s="18">
        <v>109</v>
      </c>
      <c r="BW240" s="15">
        <f t="shared" si="10"/>
        <v>109</v>
      </c>
      <c r="BY240" s="18" t="s">
        <v>5134</v>
      </c>
      <c r="BZ240" s="18" t="s">
        <v>5240</v>
      </c>
      <c r="CD240" s="18" t="s">
        <v>5127</v>
      </c>
      <c r="CE240" s="18" t="s">
        <v>111</v>
      </c>
      <c r="CF240" s="18" t="s">
        <v>5135</v>
      </c>
      <c r="CG240" s="18" t="s">
        <v>6017</v>
      </c>
      <c r="CH240" s="18" t="s">
        <v>5556</v>
      </c>
      <c r="CI240" s="18" t="s">
        <v>5351</v>
      </c>
      <c r="CJ240" s="18" t="s">
        <v>5139</v>
      </c>
      <c r="CK240" s="18" t="s">
        <v>5197</v>
      </c>
      <c r="CL240" s="18">
        <v>1</v>
      </c>
      <c r="CM240" s="18">
        <v>0</v>
      </c>
      <c r="CN240" s="18">
        <v>0</v>
      </c>
      <c r="CO240" s="18">
        <v>1</v>
      </c>
      <c r="CP240" s="18">
        <v>1</v>
      </c>
      <c r="CQ240" s="18">
        <v>1</v>
      </c>
      <c r="CR240" s="18">
        <v>0</v>
      </c>
      <c r="CS240" s="18">
        <v>0</v>
      </c>
      <c r="CT240" s="18">
        <v>0</v>
      </c>
      <c r="CU240" s="18">
        <v>0</v>
      </c>
      <c r="CV240" s="18">
        <v>1</v>
      </c>
      <c r="CX240" s="18">
        <v>0</v>
      </c>
      <c r="CY240" s="18">
        <v>1</v>
      </c>
      <c r="CZ240" s="18">
        <v>0</v>
      </c>
      <c r="DA240" s="18">
        <v>0</v>
      </c>
      <c r="DB240" s="18">
        <v>0</v>
      </c>
      <c r="DC240" s="18">
        <v>0</v>
      </c>
      <c r="DD240" s="18">
        <v>0</v>
      </c>
      <c r="DE240" s="18">
        <v>0</v>
      </c>
      <c r="DF240" s="18">
        <v>0</v>
      </c>
      <c r="DG240" s="18">
        <v>0</v>
      </c>
      <c r="DH240" s="18">
        <v>0</v>
      </c>
      <c r="DI240" s="18">
        <v>0</v>
      </c>
      <c r="DK240" s="18">
        <v>0</v>
      </c>
      <c r="DL240" s="18">
        <v>0</v>
      </c>
      <c r="DM240" s="18" t="s">
        <v>5127</v>
      </c>
      <c r="DN240" s="18" t="s">
        <v>5299</v>
      </c>
      <c r="DO240" s="18" t="s">
        <v>5665</v>
      </c>
      <c r="DP240" s="18" t="s">
        <v>113</v>
      </c>
      <c r="DS240" s="18">
        <v>0</v>
      </c>
      <c r="DT240" s="18">
        <v>0</v>
      </c>
      <c r="DU240" s="18">
        <v>1</v>
      </c>
      <c r="DV240" s="18" t="s">
        <v>5444</v>
      </c>
      <c r="DX240" s="18" t="s">
        <v>5201</v>
      </c>
      <c r="DY240" s="18" t="s">
        <v>106</v>
      </c>
      <c r="DZ240" s="18" t="s">
        <v>113</v>
      </c>
      <c r="EA240" s="18" t="s">
        <v>5146</v>
      </c>
      <c r="EB240" s="18">
        <v>109</v>
      </c>
      <c r="EC240" s="18" t="s">
        <v>113</v>
      </c>
      <c r="ED240" s="18" t="s">
        <v>5147</v>
      </c>
      <c r="EE240" s="18" t="s">
        <v>113</v>
      </c>
      <c r="EF240" s="18" t="s">
        <v>113</v>
      </c>
      <c r="EG240" s="18" t="s">
        <v>5970</v>
      </c>
      <c r="EH240" s="18" t="s">
        <v>5203</v>
      </c>
      <c r="EI240" s="18" t="s">
        <v>5204</v>
      </c>
      <c r="EJ240" s="18" t="s">
        <v>5361</v>
      </c>
      <c r="EK240" s="18" t="s">
        <v>113</v>
      </c>
      <c r="EN240" s="18" t="s">
        <v>106</v>
      </c>
      <c r="EO240" s="18" t="s">
        <v>113</v>
      </c>
      <c r="EP240" s="18" t="s">
        <v>113</v>
      </c>
      <c r="EQ240" s="18" t="s">
        <v>113</v>
      </c>
      <c r="ER240" s="18" t="s">
        <v>5155</v>
      </c>
      <c r="ES240" s="18" t="s">
        <v>5461</v>
      </c>
      <c r="ET240" s="18" t="s">
        <v>5154</v>
      </c>
      <c r="EU240" s="18" t="s">
        <v>5155</v>
      </c>
      <c r="EV240" s="18" t="s">
        <v>5566</v>
      </c>
      <c r="EW240" s="18" t="s">
        <v>5406</v>
      </c>
      <c r="EX240" s="18" t="s">
        <v>5158</v>
      </c>
      <c r="EY240" s="18" t="s">
        <v>5229</v>
      </c>
      <c r="EZ240" s="18" t="s">
        <v>5160</v>
      </c>
      <c r="FA240" s="18" t="s">
        <v>144</v>
      </c>
      <c r="FB240" s="18" t="s">
        <v>5161</v>
      </c>
    </row>
    <row r="241" spans="1:158" ht="10.5" customHeight="1" x14ac:dyDescent="0.2">
      <c r="A241" s="16">
        <v>41</v>
      </c>
      <c r="B241" s="16" t="s">
        <v>3192</v>
      </c>
      <c r="C241" s="16" t="s">
        <v>3193</v>
      </c>
      <c r="D241" s="16">
        <v>13473</v>
      </c>
      <c r="E241" s="16" t="s">
        <v>6656</v>
      </c>
      <c r="H241" s="15" t="s">
        <v>6661</v>
      </c>
      <c r="AT241" s="17">
        <f>(365*D241*0.7)/1000</f>
        <v>3442.3515000000002</v>
      </c>
      <c r="AU241" s="17">
        <f t="shared" si="8"/>
        <v>0</v>
      </c>
      <c r="BW241" s="15">
        <f t="shared" si="10"/>
        <v>0</v>
      </c>
    </row>
    <row r="242" spans="1:158" ht="10.5" customHeight="1" x14ac:dyDescent="0.2">
      <c r="A242" s="16">
        <v>41</v>
      </c>
      <c r="B242" s="16" t="s">
        <v>2243</v>
      </c>
      <c r="C242" s="16" t="s">
        <v>2242</v>
      </c>
      <c r="D242" s="16">
        <v>33529</v>
      </c>
      <c r="E242" s="16" t="s">
        <v>6658</v>
      </c>
      <c r="F242" s="18" t="s">
        <v>2242</v>
      </c>
      <c r="G242" s="18" t="s">
        <v>106</v>
      </c>
      <c r="H242" s="15" t="s">
        <v>5127</v>
      </c>
      <c r="I242" s="18">
        <v>16</v>
      </c>
      <c r="J242" s="18">
        <v>13</v>
      </c>
      <c r="K242" s="18">
        <v>3</v>
      </c>
      <c r="L242" s="18">
        <v>0</v>
      </c>
      <c r="M242" s="18" t="s">
        <v>5183</v>
      </c>
      <c r="N242" s="18" t="s">
        <v>6018</v>
      </c>
      <c r="O242" s="18">
        <v>45934</v>
      </c>
      <c r="T242" s="18" t="s">
        <v>111</v>
      </c>
      <c r="U242" s="18" t="s">
        <v>5123</v>
      </c>
      <c r="V242" s="18" t="s">
        <v>106</v>
      </c>
      <c r="W242" s="18" t="s">
        <v>5211</v>
      </c>
      <c r="Y242" s="18" t="s">
        <v>5162</v>
      </c>
      <c r="Z242" s="18" t="s">
        <v>106</v>
      </c>
      <c r="AA242" s="18" t="s">
        <v>5163</v>
      </c>
      <c r="AB242" s="18" t="s">
        <v>179</v>
      </c>
      <c r="AC242" s="18" t="s">
        <v>5127</v>
      </c>
      <c r="AD242" s="18" t="s">
        <v>5127</v>
      </c>
      <c r="AE242" s="18" t="s">
        <v>5127</v>
      </c>
      <c r="AF242" s="18" t="s">
        <v>111</v>
      </c>
      <c r="AG242" s="18" t="s">
        <v>5127</v>
      </c>
      <c r="AH242" s="18" t="s">
        <v>5127</v>
      </c>
      <c r="AI242" s="18">
        <v>2</v>
      </c>
      <c r="AK242" s="18" t="s">
        <v>5164</v>
      </c>
      <c r="AN242" s="18">
        <v>0</v>
      </c>
      <c r="AO242" s="18" t="s">
        <v>5186</v>
      </c>
      <c r="AP242" s="18" t="s">
        <v>6019</v>
      </c>
      <c r="AQ242" s="18" t="s">
        <v>5252</v>
      </c>
      <c r="AR242" s="18" t="s">
        <v>5168</v>
      </c>
      <c r="AT242" s="17">
        <f>(365*D242*0.7)/1000</f>
        <v>8566.6594999999998</v>
      </c>
      <c r="AU242" s="17">
        <f t="shared" si="8"/>
        <v>0</v>
      </c>
      <c r="AV242" s="18">
        <v>0</v>
      </c>
      <c r="AW242" s="18">
        <v>0</v>
      </c>
      <c r="AY242" s="18" t="s">
        <v>5569</v>
      </c>
      <c r="AZ242" s="18">
        <v>0</v>
      </c>
      <c r="BA242" s="18">
        <v>0</v>
      </c>
      <c r="BB242" s="18">
        <v>0</v>
      </c>
      <c r="BD242" s="18">
        <f>7700/1000</f>
        <v>7.7</v>
      </c>
      <c r="BE242" s="18">
        <v>1945</v>
      </c>
      <c r="BG242" s="18" t="s">
        <v>5369</v>
      </c>
      <c r="BH242" s="18">
        <v>0</v>
      </c>
      <c r="BI242" s="18">
        <v>0</v>
      </c>
      <c r="BJ242" s="18">
        <v>0</v>
      </c>
      <c r="BQ242" s="18">
        <v>342.5</v>
      </c>
      <c r="BR242" s="18">
        <v>160.69999999999999</v>
      </c>
      <c r="BS242" s="18">
        <v>70.099999999999994</v>
      </c>
      <c r="BT242" s="18">
        <v>73.099999999999994</v>
      </c>
      <c r="BU242" s="18">
        <v>7.7</v>
      </c>
      <c r="BV242" s="18">
        <v>654.1</v>
      </c>
      <c r="BW242" s="15">
        <f t="shared" si="10"/>
        <v>654.1</v>
      </c>
      <c r="BY242" s="18" t="s">
        <v>6020</v>
      </c>
      <c r="BZ242" s="18" t="s">
        <v>5312</v>
      </c>
      <c r="CD242" s="18" t="s">
        <v>5127</v>
      </c>
      <c r="CE242" s="18" t="s">
        <v>5127</v>
      </c>
      <c r="CF242" s="18" t="s">
        <v>5135</v>
      </c>
      <c r="CG242" s="18" t="s">
        <v>5193</v>
      </c>
      <c r="CH242" s="18" t="s">
        <v>5241</v>
      </c>
      <c r="CI242" s="18" t="s">
        <v>5138</v>
      </c>
      <c r="CJ242" s="18" t="s">
        <v>5196</v>
      </c>
      <c r="CK242" s="18" t="s">
        <v>5197</v>
      </c>
      <c r="CL242" s="18">
        <v>4</v>
      </c>
      <c r="CM242" s="18">
        <v>0</v>
      </c>
      <c r="CN242" s="18">
        <v>1</v>
      </c>
      <c r="CO242" s="18">
        <v>1</v>
      </c>
      <c r="CP242" s="18">
        <v>3</v>
      </c>
      <c r="CQ242" s="18">
        <v>1</v>
      </c>
      <c r="CR242" s="18">
        <v>0</v>
      </c>
      <c r="CS242" s="18" t="s">
        <v>5141</v>
      </c>
      <c r="CT242" s="18">
        <v>0</v>
      </c>
      <c r="CU242" s="18">
        <v>0</v>
      </c>
      <c r="CV242" s="18">
        <v>0</v>
      </c>
      <c r="CX242" s="18">
        <v>1</v>
      </c>
      <c r="CY242" s="18">
        <v>1</v>
      </c>
      <c r="CZ242" s="18">
        <v>1</v>
      </c>
      <c r="DA242" s="18">
        <v>0</v>
      </c>
      <c r="DB242" s="18">
        <v>1</v>
      </c>
      <c r="DC242" s="18">
        <v>1</v>
      </c>
      <c r="DD242" s="18">
        <v>1</v>
      </c>
      <c r="DE242" s="18">
        <v>0</v>
      </c>
      <c r="DF242" s="18" t="s">
        <v>5141</v>
      </c>
      <c r="DG242" s="18">
        <v>0</v>
      </c>
      <c r="DH242" s="18">
        <v>1</v>
      </c>
      <c r="DI242" s="18">
        <v>5</v>
      </c>
      <c r="DK242" s="18">
        <v>1</v>
      </c>
      <c r="DL242" s="18">
        <v>1</v>
      </c>
      <c r="DM242" s="18" t="s">
        <v>5127</v>
      </c>
      <c r="DN242" s="18" t="s">
        <v>5258</v>
      </c>
      <c r="DO242" s="18" t="s">
        <v>5259</v>
      </c>
      <c r="DP242" s="18" t="s">
        <v>113</v>
      </c>
      <c r="DQ242" s="18" t="s">
        <v>5168</v>
      </c>
      <c r="DS242" s="18">
        <v>0</v>
      </c>
      <c r="DT242" s="18">
        <v>0</v>
      </c>
      <c r="DU242" s="18">
        <v>0</v>
      </c>
      <c r="DV242" s="18" t="s">
        <v>6021</v>
      </c>
      <c r="DX242" s="18" t="s">
        <v>5222</v>
      </c>
      <c r="DY242" s="18" t="s">
        <v>106</v>
      </c>
      <c r="DZ242" s="18" t="s">
        <v>106</v>
      </c>
      <c r="EA242" s="18" t="s">
        <v>5146</v>
      </c>
      <c r="EB242" s="18" t="s">
        <v>6022</v>
      </c>
      <c r="EC242" s="18" t="s">
        <v>113</v>
      </c>
      <c r="ED242" s="18" t="s">
        <v>5147</v>
      </c>
      <c r="EE242" s="18" t="s">
        <v>106</v>
      </c>
      <c r="EF242" s="18" t="s">
        <v>113</v>
      </c>
      <c r="EG242" s="18" t="s">
        <v>5326</v>
      </c>
      <c r="EH242" s="18" t="s">
        <v>5203</v>
      </c>
      <c r="EI242" s="18" t="s">
        <v>5204</v>
      </c>
      <c r="EJ242" s="18" t="s">
        <v>5530</v>
      </c>
      <c r="EK242" s="18" t="s">
        <v>5362</v>
      </c>
      <c r="EL242" s="18" t="s">
        <v>5460</v>
      </c>
      <c r="EM242" s="18" t="s">
        <v>6023</v>
      </c>
      <c r="EN242" s="18" t="s">
        <v>106</v>
      </c>
      <c r="EO242" s="18" t="s">
        <v>113</v>
      </c>
      <c r="EP242" s="18" t="s">
        <v>113</v>
      </c>
      <c r="EQ242" s="18" t="s">
        <v>113</v>
      </c>
      <c r="ER242" s="18" t="s">
        <v>5206</v>
      </c>
      <c r="ES242" s="18" t="s">
        <v>5153</v>
      </c>
      <c r="ET242" s="18" t="s">
        <v>5154</v>
      </c>
      <c r="EU242" s="18" t="s">
        <v>5155</v>
      </c>
      <c r="EV242" s="18" t="s">
        <v>179</v>
      </c>
      <c r="EW242" s="18" t="s">
        <v>6024</v>
      </c>
      <c r="EX242" s="18" t="s">
        <v>5158</v>
      </c>
      <c r="EY242" s="18" t="s">
        <v>5229</v>
      </c>
      <c r="EZ242" s="18" t="s">
        <v>5160</v>
      </c>
      <c r="FA242" s="18" t="s">
        <v>144</v>
      </c>
      <c r="FB242" s="18" t="s">
        <v>5161</v>
      </c>
    </row>
    <row r="243" spans="1:158" ht="10.5" customHeight="1" x14ac:dyDescent="0.2">
      <c r="A243" s="16">
        <v>41</v>
      </c>
      <c r="B243" s="16" t="s">
        <v>2263</v>
      </c>
      <c r="C243" s="16" t="s">
        <v>2262</v>
      </c>
      <c r="D243" s="16">
        <v>6833</v>
      </c>
      <c r="E243" s="16" t="s">
        <v>6656</v>
      </c>
      <c r="F243" s="18" t="s">
        <v>2262</v>
      </c>
      <c r="G243" s="18" t="s">
        <v>106</v>
      </c>
      <c r="H243" s="15" t="s">
        <v>5127</v>
      </c>
      <c r="I243" s="18">
        <v>5</v>
      </c>
      <c r="J243" s="18">
        <v>3</v>
      </c>
      <c r="K243" s="18">
        <v>2</v>
      </c>
      <c r="M243" s="18" t="s">
        <v>5183</v>
      </c>
      <c r="N243" s="18" t="s">
        <v>6025</v>
      </c>
      <c r="T243" s="18" t="s">
        <v>111</v>
      </c>
      <c r="U243" s="18" t="s">
        <v>5250</v>
      </c>
      <c r="V243" s="18" t="s">
        <v>113</v>
      </c>
      <c r="W243" s="18" t="s">
        <v>5211</v>
      </c>
      <c r="Y243" s="18" t="s">
        <v>5524</v>
      </c>
      <c r="Z243" s="18" t="s">
        <v>113</v>
      </c>
      <c r="AA243" s="18" t="s">
        <v>5163</v>
      </c>
      <c r="AB243" s="18" t="s">
        <v>5233</v>
      </c>
      <c r="AC243" s="18" t="s">
        <v>111</v>
      </c>
      <c r="AD243" s="18" t="s">
        <v>5127</v>
      </c>
      <c r="AE243" s="18" t="s">
        <v>5127</v>
      </c>
      <c r="AF243" s="18" t="s">
        <v>111</v>
      </c>
      <c r="AG243" s="18" t="s">
        <v>5127</v>
      </c>
      <c r="AH243" s="18" t="s">
        <v>111</v>
      </c>
      <c r="AI243" s="18">
        <v>1</v>
      </c>
      <c r="AK243" s="18" t="s">
        <v>5164</v>
      </c>
      <c r="AN243" s="18">
        <v>1400</v>
      </c>
      <c r="AO243" s="18" t="s">
        <v>5186</v>
      </c>
      <c r="AP243" s="18" t="s">
        <v>6026</v>
      </c>
      <c r="AQ243" s="18" t="s">
        <v>5252</v>
      </c>
      <c r="AR243" s="18" t="s">
        <v>5168</v>
      </c>
      <c r="AT243" s="17">
        <f>(365*D243*0.7)/1000</f>
        <v>1745.8315</v>
      </c>
      <c r="AU243" s="17">
        <f t="shared" si="8"/>
        <v>700</v>
      </c>
      <c r="AV243" s="18">
        <v>700</v>
      </c>
      <c r="AW243" s="18">
        <v>0</v>
      </c>
      <c r="AY243" s="18" t="s">
        <v>164</v>
      </c>
      <c r="BG243" s="18" t="s">
        <v>5281</v>
      </c>
      <c r="BQ243" s="18">
        <v>100</v>
      </c>
      <c r="BR243" s="18">
        <v>100</v>
      </c>
      <c r="BS243" s="18">
        <v>100</v>
      </c>
      <c r="BT243" s="18">
        <v>100</v>
      </c>
      <c r="BU243" s="18">
        <v>300</v>
      </c>
      <c r="BV243" s="18">
        <v>700</v>
      </c>
      <c r="BW243" s="15">
        <f t="shared" si="10"/>
        <v>700</v>
      </c>
      <c r="BY243" s="18" t="s">
        <v>5134</v>
      </c>
      <c r="BZ243" s="18" t="s">
        <v>193</v>
      </c>
      <c r="CD243" s="18" t="s">
        <v>5127</v>
      </c>
      <c r="CE243" s="18" t="s">
        <v>111</v>
      </c>
      <c r="CF243" s="18" t="s">
        <v>5135</v>
      </c>
      <c r="CG243" s="18" t="s">
        <v>6027</v>
      </c>
      <c r="CH243" s="18" t="s">
        <v>111</v>
      </c>
      <c r="CI243" s="18" t="s">
        <v>111</v>
      </c>
      <c r="CJ243" s="18" t="s">
        <v>5139</v>
      </c>
      <c r="CK243" s="18" t="s">
        <v>5256</v>
      </c>
      <c r="CL243" s="18" t="s">
        <v>6028</v>
      </c>
      <c r="CM243" s="18">
        <v>2</v>
      </c>
      <c r="CN243" s="18">
        <v>0</v>
      </c>
      <c r="CO243" s="18">
        <v>1</v>
      </c>
      <c r="CP243" s="18">
        <v>0</v>
      </c>
      <c r="CQ243" s="18">
        <v>0</v>
      </c>
      <c r="CR243" s="18">
        <v>0</v>
      </c>
      <c r="CS243" s="18">
        <v>0</v>
      </c>
      <c r="CT243" s="18">
        <v>0</v>
      </c>
      <c r="CU243" s="18">
        <v>0</v>
      </c>
      <c r="CV243" s="18">
        <v>0</v>
      </c>
      <c r="CX243" s="18">
        <v>0</v>
      </c>
      <c r="CY243" s="18">
        <v>0</v>
      </c>
      <c r="CZ243" s="18">
        <v>1</v>
      </c>
      <c r="DA243" s="18">
        <v>1</v>
      </c>
      <c r="DB243" s="18">
        <v>1</v>
      </c>
      <c r="DC243" s="18">
        <v>1</v>
      </c>
      <c r="DD243" s="18">
        <v>1</v>
      </c>
      <c r="DE243" s="18">
        <v>1</v>
      </c>
      <c r="DF243" s="18" t="s">
        <v>5141</v>
      </c>
      <c r="DG243" s="18">
        <v>1</v>
      </c>
      <c r="DH243" s="18">
        <v>1</v>
      </c>
      <c r="DI243" s="18">
        <v>1</v>
      </c>
      <c r="DK243" s="18">
        <v>0</v>
      </c>
      <c r="DL243" s="18">
        <v>1</v>
      </c>
      <c r="DM243" s="18" t="s">
        <v>111</v>
      </c>
      <c r="DN243" s="18" t="s">
        <v>5299</v>
      </c>
      <c r="DO243" s="18" t="s">
        <v>5259</v>
      </c>
      <c r="DP243" s="18" t="s">
        <v>113</v>
      </c>
      <c r="DS243" s="18">
        <v>0</v>
      </c>
      <c r="DT243" s="18">
        <v>0</v>
      </c>
      <c r="DU243" s="18">
        <v>2</v>
      </c>
      <c r="DV243" s="18" t="s">
        <v>5272</v>
      </c>
      <c r="DX243" s="18" t="s">
        <v>5145</v>
      </c>
      <c r="DY243" s="18" t="s">
        <v>113</v>
      </c>
      <c r="DZ243" s="18" t="s">
        <v>113</v>
      </c>
      <c r="EA243" s="18" t="s">
        <v>5146</v>
      </c>
      <c r="EB243" s="18">
        <v>700</v>
      </c>
      <c r="EC243" s="18" t="s">
        <v>113</v>
      </c>
      <c r="ED243" s="18" t="s">
        <v>5147</v>
      </c>
      <c r="EG243" s="18" t="s">
        <v>5148</v>
      </c>
      <c r="EH243" s="18" t="s">
        <v>5203</v>
      </c>
      <c r="EI243" s="18" t="s">
        <v>5204</v>
      </c>
      <c r="EJ243" s="18" t="s">
        <v>5653</v>
      </c>
      <c r="EN243" s="18" t="s">
        <v>113</v>
      </c>
      <c r="ER243" s="18" t="s">
        <v>5289</v>
      </c>
      <c r="ES243" s="18" t="s">
        <v>5352</v>
      </c>
      <c r="ET243" s="18" t="s">
        <v>5154</v>
      </c>
      <c r="EX243" s="18" t="s">
        <v>5962</v>
      </c>
      <c r="EY243" s="18" t="s">
        <v>5229</v>
      </c>
      <c r="EZ243" s="18" t="s">
        <v>5308</v>
      </c>
    </row>
    <row r="244" spans="1:158" ht="10.5" customHeight="1" x14ac:dyDescent="0.2">
      <c r="A244" s="16">
        <v>41</v>
      </c>
      <c r="B244" s="16" t="s">
        <v>2276</v>
      </c>
      <c r="C244" s="16" t="s">
        <v>2275</v>
      </c>
      <c r="D244" s="16">
        <v>2705</v>
      </c>
      <c r="E244" s="16" t="s">
        <v>6656</v>
      </c>
      <c r="F244" s="18" t="s">
        <v>2275</v>
      </c>
      <c r="G244" s="18" t="s">
        <v>106</v>
      </c>
      <c r="H244" s="15" t="s">
        <v>5127</v>
      </c>
      <c r="I244" s="18">
        <v>3</v>
      </c>
      <c r="J244" s="18">
        <v>1</v>
      </c>
      <c r="K244" s="18">
        <v>2</v>
      </c>
      <c r="L244" s="18">
        <v>0</v>
      </c>
      <c r="M244" s="18" t="s">
        <v>5183</v>
      </c>
      <c r="N244" s="18" t="s">
        <v>6029</v>
      </c>
      <c r="O244" s="18">
        <v>46234</v>
      </c>
      <c r="T244" s="18" t="s">
        <v>111</v>
      </c>
      <c r="U244" s="18" t="s">
        <v>5250</v>
      </c>
      <c r="V244" s="18" t="s">
        <v>106</v>
      </c>
      <c r="W244" s="18" t="s">
        <v>5211</v>
      </c>
      <c r="Y244" s="18" t="s">
        <v>5212</v>
      </c>
      <c r="Z244" s="18" t="s">
        <v>106</v>
      </c>
      <c r="AA244" s="18" t="s">
        <v>5267</v>
      </c>
      <c r="AB244" s="18" t="s">
        <v>179</v>
      </c>
      <c r="AC244" s="18" t="s">
        <v>5127</v>
      </c>
      <c r="AD244" s="18" t="s">
        <v>5127</v>
      </c>
      <c r="AE244" s="18" t="s">
        <v>111</v>
      </c>
      <c r="AF244" s="18" t="s">
        <v>5127</v>
      </c>
      <c r="AG244" s="18" t="s">
        <v>111</v>
      </c>
      <c r="AH244" s="18" t="s">
        <v>111</v>
      </c>
      <c r="AI244" s="18">
        <v>1</v>
      </c>
      <c r="AK244" s="18" t="s">
        <v>5164</v>
      </c>
      <c r="AN244" s="18">
        <v>0</v>
      </c>
      <c r="AO244" s="18" t="s">
        <v>5129</v>
      </c>
      <c r="AP244" s="18" t="s">
        <v>6030</v>
      </c>
      <c r="AQ244" s="18" t="s">
        <v>5269</v>
      </c>
      <c r="AR244" s="18" t="s">
        <v>5727</v>
      </c>
      <c r="AT244" s="17">
        <f>(365*D244*0.7)/1000</f>
        <v>691.12750000000005</v>
      </c>
      <c r="AU244" s="17">
        <f t="shared" si="8"/>
        <v>40</v>
      </c>
      <c r="AV244" s="18">
        <v>40</v>
      </c>
      <c r="AW244" s="18">
        <v>0</v>
      </c>
      <c r="AY244" s="18" t="s">
        <v>5650</v>
      </c>
      <c r="AZ244" s="18">
        <v>0</v>
      </c>
      <c r="BA244" s="18">
        <v>0</v>
      </c>
      <c r="BB244" s="18">
        <v>500</v>
      </c>
      <c r="BD244" s="18">
        <v>0</v>
      </c>
      <c r="BE244" s="18">
        <v>500</v>
      </c>
      <c r="BG244" s="18" t="s">
        <v>164</v>
      </c>
      <c r="BH244" s="18">
        <v>0</v>
      </c>
      <c r="BI244" s="18">
        <v>0</v>
      </c>
      <c r="BJ244" s="18">
        <v>0</v>
      </c>
      <c r="BQ244" s="18">
        <v>45</v>
      </c>
      <c r="BR244" s="18">
        <v>35</v>
      </c>
      <c r="BS244" s="18">
        <v>12</v>
      </c>
      <c r="BT244" s="18">
        <v>5</v>
      </c>
      <c r="BU244" s="18">
        <v>3</v>
      </c>
      <c r="BV244" s="18">
        <v>100</v>
      </c>
      <c r="BW244" s="15">
        <f t="shared" si="10"/>
        <v>100</v>
      </c>
      <c r="BY244" s="18" t="s">
        <v>5134</v>
      </c>
      <c r="BZ244" s="18" t="s">
        <v>5240</v>
      </c>
      <c r="CD244" s="18" t="s">
        <v>5127</v>
      </c>
      <c r="CE244" s="18" t="s">
        <v>5127</v>
      </c>
      <c r="CF244" s="18" t="s">
        <v>5135</v>
      </c>
      <c r="CG244" s="18" t="s">
        <v>6031</v>
      </c>
      <c r="CH244" s="18" t="s">
        <v>111</v>
      </c>
      <c r="CI244" s="18" t="s">
        <v>5138</v>
      </c>
      <c r="CJ244" s="18" t="s">
        <v>5196</v>
      </c>
      <c r="CK244" s="18" t="s">
        <v>179</v>
      </c>
      <c r="CL244" s="18">
        <v>2</v>
      </c>
      <c r="CM244" s="18">
        <v>0</v>
      </c>
      <c r="CN244" s="18">
        <v>0</v>
      </c>
      <c r="CO244" s="18">
        <v>2</v>
      </c>
      <c r="CP244" s="18">
        <v>0</v>
      </c>
      <c r="CQ244" s="18">
        <v>1</v>
      </c>
      <c r="CR244" s="18">
        <v>0</v>
      </c>
      <c r="CS244" s="18" t="s">
        <v>5141</v>
      </c>
      <c r="CT244" s="18">
        <v>0</v>
      </c>
      <c r="CU244" s="18">
        <v>1</v>
      </c>
      <c r="CV244" s="18">
        <v>1</v>
      </c>
      <c r="CX244" s="18">
        <v>1</v>
      </c>
      <c r="CY244" s="18">
        <v>0</v>
      </c>
      <c r="CZ244" s="18">
        <v>0</v>
      </c>
      <c r="DA244" s="18">
        <v>1</v>
      </c>
      <c r="DB244" s="18">
        <v>0</v>
      </c>
      <c r="DC244" s="18">
        <v>1</v>
      </c>
      <c r="DD244" s="18">
        <v>0</v>
      </c>
      <c r="DE244" s="18">
        <v>0</v>
      </c>
      <c r="DF244" s="18">
        <v>0</v>
      </c>
      <c r="DG244" s="18">
        <v>0</v>
      </c>
      <c r="DH244" s="18">
        <v>0</v>
      </c>
      <c r="DI244" s="18">
        <v>1</v>
      </c>
      <c r="DK244" s="18">
        <v>0</v>
      </c>
      <c r="DL244" s="18">
        <v>0</v>
      </c>
      <c r="DM244" s="18" t="s">
        <v>5127</v>
      </c>
      <c r="DN244" s="18" t="s">
        <v>5258</v>
      </c>
      <c r="DO244" s="18" t="s">
        <v>5143</v>
      </c>
      <c r="DP244" s="18" t="s">
        <v>113</v>
      </c>
      <c r="DQ244" s="18" t="s">
        <v>5221</v>
      </c>
      <c r="DS244" s="18">
        <v>0</v>
      </c>
      <c r="DT244" s="18">
        <v>0</v>
      </c>
      <c r="DU244" s="18">
        <v>1</v>
      </c>
      <c r="DV244" s="18" t="s">
        <v>6021</v>
      </c>
      <c r="DX244" s="18" t="s">
        <v>5222</v>
      </c>
      <c r="DY244" s="18" t="s">
        <v>106</v>
      </c>
      <c r="DZ244" s="18" t="s">
        <v>113</v>
      </c>
      <c r="EA244" s="18" t="s">
        <v>6032</v>
      </c>
      <c r="EB244" s="18">
        <v>100</v>
      </c>
      <c r="EC244" s="18" t="s">
        <v>106</v>
      </c>
      <c r="ED244" s="18" t="s">
        <v>5176</v>
      </c>
      <c r="EE244" s="18" t="s">
        <v>113</v>
      </c>
      <c r="EF244" s="18" t="s">
        <v>113</v>
      </c>
      <c r="EG244" s="18" t="s">
        <v>5810</v>
      </c>
      <c r="EH244" s="18" t="s">
        <v>5203</v>
      </c>
      <c r="EI244" s="18" t="s">
        <v>5204</v>
      </c>
      <c r="EJ244" s="18" t="s">
        <v>6014</v>
      </c>
      <c r="EK244" s="18" t="s">
        <v>113</v>
      </c>
      <c r="EM244" s="18" t="s">
        <v>5227</v>
      </c>
      <c r="EN244" s="18" t="s">
        <v>113</v>
      </c>
      <c r="EO244" s="18" t="s">
        <v>113</v>
      </c>
      <c r="EP244" s="18" t="s">
        <v>113</v>
      </c>
      <c r="EQ244" s="18" t="s">
        <v>106</v>
      </c>
      <c r="ER244" s="18" t="s">
        <v>5289</v>
      </c>
      <c r="ES244" s="18" t="s">
        <v>5352</v>
      </c>
      <c r="ET244" s="18" t="s">
        <v>5154</v>
      </c>
      <c r="EU244" s="18" t="s">
        <v>5155</v>
      </c>
      <c r="EV244" s="18" t="s">
        <v>5372</v>
      </c>
      <c r="EW244" s="18" t="s">
        <v>5975</v>
      </c>
      <c r="EX244" s="18" t="s">
        <v>5158</v>
      </c>
      <c r="EY244" s="18" t="s">
        <v>5181</v>
      </c>
      <c r="EZ244" s="18" t="s">
        <v>5308</v>
      </c>
      <c r="FA244" s="18" t="s">
        <v>144</v>
      </c>
      <c r="FB244" s="18" t="s">
        <v>5161</v>
      </c>
    </row>
    <row r="245" spans="1:158" ht="10.5" customHeight="1" x14ac:dyDescent="0.2">
      <c r="A245" s="16">
        <v>41</v>
      </c>
      <c r="B245" s="16" t="s">
        <v>2286</v>
      </c>
      <c r="C245" s="16" t="s">
        <v>1942</v>
      </c>
      <c r="D245" s="16">
        <v>5576</v>
      </c>
      <c r="E245" s="16" t="s">
        <v>6656</v>
      </c>
      <c r="F245" s="18" t="s">
        <v>1942</v>
      </c>
      <c r="G245" s="18" t="s">
        <v>113</v>
      </c>
      <c r="H245" s="15" t="s">
        <v>111</v>
      </c>
      <c r="AT245" s="17">
        <f>(365*D245*0.7)/1000</f>
        <v>1424.6679999999999</v>
      </c>
      <c r="AU245" s="17">
        <f t="shared" si="8"/>
        <v>0</v>
      </c>
      <c r="BW245" s="15">
        <f t="shared" si="10"/>
        <v>0</v>
      </c>
    </row>
    <row r="246" spans="1:158" ht="10.5" customHeight="1" x14ac:dyDescent="0.2">
      <c r="A246" s="16">
        <v>41</v>
      </c>
      <c r="B246" s="16" t="s">
        <v>2286</v>
      </c>
      <c r="C246" s="16" t="s">
        <v>1942</v>
      </c>
      <c r="D246" s="16">
        <v>5576</v>
      </c>
      <c r="E246" s="16" t="s">
        <v>6656</v>
      </c>
      <c r="F246" s="18" t="s">
        <v>1942</v>
      </c>
      <c r="G246" s="18" t="s">
        <v>113</v>
      </c>
      <c r="H246" s="15" t="s">
        <v>111</v>
      </c>
      <c r="AT246" s="17">
        <f>(365*D246*0.7)/1000</f>
        <v>1424.6679999999999</v>
      </c>
      <c r="AU246" s="17">
        <f t="shared" si="8"/>
        <v>0</v>
      </c>
      <c r="BW246" s="15">
        <f t="shared" si="10"/>
        <v>0</v>
      </c>
    </row>
    <row r="247" spans="1:158" ht="10.5" customHeight="1" x14ac:dyDescent="0.2">
      <c r="A247" s="16">
        <v>41</v>
      </c>
      <c r="B247" s="16" t="s">
        <v>2304</v>
      </c>
      <c r="C247" s="16" t="s">
        <v>2303</v>
      </c>
      <c r="D247" s="16">
        <v>41400</v>
      </c>
      <c r="E247" s="16" t="s">
        <v>6658</v>
      </c>
      <c r="F247" s="18" t="s">
        <v>2303</v>
      </c>
      <c r="G247" s="18" t="s">
        <v>106</v>
      </c>
      <c r="H247" s="15" t="s">
        <v>5127</v>
      </c>
      <c r="I247" s="18">
        <v>13</v>
      </c>
      <c r="J247" s="18">
        <v>10</v>
      </c>
      <c r="K247" s="18">
        <v>3</v>
      </c>
      <c r="M247" s="18" t="s">
        <v>5183</v>
      </c>
      <c r="N247" s="18">
        <v>258067</v>
      </c>
      <c r="O247" s="18">
        <v>48161</v>
      </c>
      <c r="T247" s="18" t="s">
        <v>5240</v>
      </c>
      <c r="U247" s="18" t="s">
        <v>5123</v>
      </c>
      <c r="V247" s="18" t="s">
        <v>106</v>
      </c>
      <c r="W247" s="18" t="s">
        <v>5211</v>
      </c>
      <c r="Y247" s="18" t="s">
        <v>5232</v>
      </c>
      <c r="Z247" s="18" t="s">
        <v>106</v>
      </c>
      <c r="AA247" s="18" t="s">
        <v>5163</v>
      </c>
      <c r="AB247" s="18" t="s">
        <v>5213</v>
      </c>
      <c r="AC247" s="18" t="s">
        <v>5127</v>
      </c>
      <c r="AD247" s="18" t="s">
        <v>5127</v>
      </c>
      <c r="AE247" s="18" t="s">
        <v>111</v>
      </c>
      <c r="AF247" s="18" t="s">
        <v>5127</v>
      </c>
      <c r="AG247" s="18" t="s">
        <v>5127</v>
      </c>
      <c r="AH247" s="18" t="s">
        <v>111</v>
      </c>
      <c r="AI247" s="18">
        <v>1</v>
      </c>
      <c r="AK247" s="18" t="s">
        <v>5164</v>
      </c>
      <c r="AN247" s="18">
        <v>0</v>
      </c>
      <c r="AO247" s="18" t="s">
        <v>5186</v>
      </c>
      <c r="AP247" s="18" t="s">
        <v>6033</v>
      </c>
      <c r="AQ247" s="18" t="s">
        <v>5216</v>
      </c>
      <c r="AR247" s="18" t="s">
        <v>5132</v>
      </c>
      <c r="AT247" s="17">
        <f>(365*D247*0.7)/1000</f>
        <v>10577.7</v>
      </c>
      <c r="AU247" s="17">
        <f t="shared" si="8"/>
        <v>0</v>
      </c>
      <c r="AV247" s="18">
        <v>0</v>
      </c>
      <c r="AW247" s="18">
        <v>0</v>
      </c>
      <c r="AY247" s="18" t="s">
        <v>164</v>
      </c>
      <c r="BG247" s="18" t="s">
        <v>5169</v>
      </c>
      <c r="BQ247" s="18">
        <v>0</v>
      </c>
      <c r="BR247" s="18">
        <v>0</v>
      </c>
      <c r="BS247" s="18">
        <v>0</v>
      </c>
      <c r="BT247" s="18">
        <v>0</v>
      </c>
      <c r="BU247" s="18">
        <v>0</v>
      </c>
      <c r="BV247" s="18">
        <v>0</v>
      </c>
      <c r="BW247" s="15">
        <f t="shared" si="10"/>
        <v>0</v>
      </c>
      <c r="BY247" s="18" t="s">
        <v>5134</v>
      </c>
      <c r="BZ247" s="18" t="s">
        <v>5494</v>
      </c>
      <c r="CD247" s="18" t="s">
        <v>5127</v>
      </c>
      <c r="CE247" s="18" t="s">
        <v>111</v>
      </c>
      <c r="CF247" s="18" t="s">
        <v>5135</v>
      </c>
      <c r="CG247" s="18" t="s">
        <v>6034</v>
      </c>
      <c r="CH247" s="18" t="s">
        <v>5241</v>
      </c>
      <c r="CI247" s="18" t="s">
        <v>5138</v>
      </c>
      <c r="CJ247" s="18" t="s">
        <v>5139</v>
      </c>
      <c r="CK247" s="18" t="s">
        <v>5625</v>
      </c>
      <c r="CL247" s="18">
        <v>0</v>
      </c>
      <c r="CM247" s="18">
        <v>1</v>
      </c>
      <c r="CN247" s="18">
        <v>0</v>
      </c>
      <c r="CO247" s="18">
        <v>1</v>
      </c>
      <c r="CP247" s="18">
        <v>2</v>
      </c>
      <c r="CQ247" s="18">
        <v>0</v>
      </c>
      <c r="CR247" s="18">
        <v>0</v>
      </c>
      <c r="CS247" s="18" t="s">
        <v>5141</v>
      </c>
      <c r="CT247" s="18">
        <v>0</v>
      </c>
      <c r="CU247" s="18">
        <v>0</v>
      </c>
      <c r="CV247" s="18">
        <v>1</v>
      </c>
      <c r="CX247" s="18">
        <v>1</v>
      </c>
      <c r="CY247" s="18">
        <v>1</v>
      </c>
      <c r="CZ247" s="18">
        <v>1</v>
      </c>
      <c r="DA247" s="18">
        <v>1</v>
      </c>
      <c r="DB247" s="18">
        <v>1</v>
      </c>
      <c r="DC247" s="18">
        <v>2</v>
      </c>
      <c r="DD247" s="18">
        <v>1</v>
      </c>
      <c r="DE247" s="18">
        <v>1</v>
      </c>
      <c r="DF247" s="18">
        <v>0</v>
      </c>
      <c r="DG247" s="18">
        <v>0</v>
      </c>
      <c r="DH247" s="18">
        <v>1</v>
      </c>
      <c r="DI247" s="18">
        <v>0</v>
      </c>
      <c r="DK247" s="18">
        <v>0</v>
      </c>
      <c r="DL247" s="18">
        <v>0</v>
      </c>
      <c r="DM247" s="18" t="s">
        <v>5127</v>
      </c>
      <c r="DN247" s="18" t="s">
        <v>5172</v>
      </c>
      <c r="DO247" s="18" t="s">
        <v>5143</v>
      </c>
      <c r="DP247" s="18" t="s">
        <v>113</v>
      </c>
      <c r="DS247" s="18">
        <v>0</v>
      </c>
      <c r="DT247" s="18">
        <v>0</v>
      </c>
      <c r="DU247" s="18">
        <v>1</v>
      </c>
      <c r="DV247" s="18" t="s">
        <v>5377</v>
      </c>
      <c r="DX247" s="18" t="s">
        <v>5145</v>
      </c>
      <c r="DY247" s="18" t="s">
        <v>106</v>
      </c>
      <c r="DZ247" s="18" t="s">
        <v>106</v>
      </c>
      <c r="EA247" s="18" t="s">
        <v>5959</v>
      </c>
      <c r="EB247" s="18">
        <v>0</v>
      </c>
      <c r="EC247" s="18" t="s">
        <v>106</v>
      </c>
      <c r="ED247" s="18" t="s">
        <v>5147</v>
      </c>
      <c r="EH247" s="18" t="s">
        <v>5203</v>
      </c>
      <c r="EI247" s="18" t="s">
        <v>5204</v>
      </c>
      <c r="EN247" s="18" t="s">
        <v>113</v>
      </c>
      <c r="EX247" s="18" t="s">
        <v>5158</v>
      </c>
      <c r="EY247" s="18" t="s">
        <v>5278</v>
      </c>
      <c r="FA247" s="18" t="s">
        <v>144</v>
      </c>
    </row>
    <row r="248" spans="1:158" ht="10.5" customHeight="1" x14ac:dyDescent="0.2">
      <c r="A248" s="16">
        <v>41</v>
      </c>
      <c r="B248" s="16" t="s">
        <v>2314</v>
      </c>
      <c r="C248" s="16" t="s">
        <v>2313</v>
      </c>
      <c r="D248" s="16">
        <v>15719</v>
      </c>
      <c r="E248" s="16" t="s">
        <v>6658</v>
      </c>
      <c r="F248" s="18" t="s">
        <v>2313</v>
      </c>
      <c r="G248" s="18" t="s">
        <v>106</v>
      </c>
      <c r="H248" s="15" t="s">
        <v>5127</v>
      </c>
      <c r="I248" s="18">
        <v>15</v>
      </c>
      <c r="J248" s="18">
        <v>6</v>
      </c>
      <c r="K248" s="18">
        <v>7</v>
      </c>
      <c r="L248" s="18">
        <v>0</v>
      </c>
      <c r="M248" s="18" t="s">
        <v>5121</v>
      </c>
      <c r="N248" s="18" t="s">
        <v>6035</v>
      </c>
      <c r="O248" s="18">
        <v>47058</v>
      </c>
      <c r="T248" s="18" t="s">
        <v>111</v>
      </c>
      <c r="U248" s="18" t="s">
        <v>5123</v>
      </c>
      <c r="V248" s="18" t="s">
        <v>113</v>
      </c>
      <c r="W248" s="18" t="s">
        <v>5211</v>
      </c>
      <c r="Y248" s="18" t="s">
        <v>5574</v>
      </c>
      <c r="Z248" s="18" t="s">
        <v>106</v>
      </c>
      <c r="AA248" s="18" t="s">
        <v>5163</v>
      </c>
      <c r="AB248" s="18" t="s">
        <v>179</v>
      </c>
      <c r="AC248" s="18" t="s">
        <v>5127</v>
      </c>
      <c r="AD248" s="18" t="s">
        <v>5127</v>
      </c>
      <c r="AE248" s="18" t="s">
        <v>5127</v>
      </c>
      <c r="AF248" s="18" t="s">
        <v>111</v>
      </c>
      <c r="AG248" s="18" t="s">
        <v>5127</v>
      </c>
      <c r="AH248" s="18" t="s">
        <v>111</v>
      </c>
      <c r="AI248" s="18">
        <v>0</v>
      </c>
      <c r="AK248" s="18" t="s">
        <v>5164</v>
      </c>
      <c r="AN248" s="18">
        <v>240</v>
      </c>
      <c r="AO248" s="18" t="s">
        <v>5391</v>
      </c>
      <c r="AP248" s="18" t="s">
        <v>6036</v>
      </c>
      <c r="AQ248" s="18" t="s">
        <v>5442</v>
      </c>
      <c r="AR248" s="18" t="s">
        <v>5168</v>
      </c>
      <c r="AT248" s="17">
        <f>(365*D248*0.7)/1000</f>
        <v>4016.2044999999994</v>
      </c>
      <c r="AU248" s="17">
        <f t="shared" si="8"/>
        <v>60</v>
      </c>
      <c r="AV248" s="18">
        <v>60</v>
      </c>
      <c r="AW248" s="18">
        <v>0</v>
      </c>
      <c r="AY248" s="18" t="s">
        <v>6037</v>
      </c>
      <c r="AZ248" s="18">
        <f>15</f>
        <v>15</v>
      </c>
      <c r="BA248" s="18">
        <v>0</v>
      </c>
      <c r="BB248" s="18">
        <v>150</v>
      </c>
      <c r="BD248" s="18">
        <f>500/1000</f>
        <v>0.5</v>
      </c>
      <c r="BE248" s="18">
        <v>1000</v>
      </c>
      <c r="BG248" s="18" t="s">
        <v>5663</v>
      </c>
      <c r="BH248" s="18">
        <v>0</v>
      </c>
      <c r="BI248" s="18">
        <v>0</v>
      </c>
      <c r="BJ248" s="18">
        <v>0</v>
      </c>
      <c r="BQ248" s="18">
        <v>12</v>
      </c>
      <c r="BR248" s="18">
        <v>12</v>
      </c>
      <c r="BS248" s="18">
        <v>4</v>
      </c>
      <c r="BT248" s="18">
        <v>24</v>
      </c>
      <c r="BU248" s="18">
        <v>0</v>
      </c>
      <c r="BV248" s="18">
        <f>SUM(BQ248:BU248)</f>
        <v>52</v>
      </c>
      <c r="BW248" s="15">
        <f t="shared" si="10"/>
        <v>52</v>
      </c>
      <c r="BY248" s="18" t="s">
        <v>5134</v>
      </c>
      <c r="BZ248" s="18" t="s">
        <v>193</v>
      </c>
      <c r="CD248" s="18" t="s">
        <v>5127</v>
      </c>
      <c r="CE248" s="18" t="s">
        <v>5127</v>
      </c>
      <c r="CF248" s="18" t="s">
        <v>5135</v>
      </c>
      <c r="CG248" s="18" t="s">
        <v>5376</v>
      </c>
      <c r="CH248" s="18" t="s">
        <v>5551</v>
      </c>
      <c r="CI248" s="18" t="s">
        <v>111</v>
      </c>
      <c r="CJ248" s="18" t="s">
        <v>5196</v>
      </c>
      <c r="CK248" s="18" t="s">
        <v>179</v>
      </c>
      <c r="CL248" s="18">
        <v>1</v>
      </c>
      <c r="CM248" s="18">
        <v>0</v>
      </c>
      <c r="CN248" s="18">
        <v>0</v>
      </c>
      <c r="CO248" s="18">
        <v>1</v>
      </c>
      <c r="CP248" s="18">
        <v>1</v>
      </c>
      <c r="CQ248" s="18">
        <v>1</v>
      </c>
      <c r="CR248" s="18">
        <v>0</v>
      </c>
      <c r="CS248" s="18" t="s">
        <v>5141</v>
      </c>
      <c r="CT248" s="18">
        <v>0</v>
      </c>
      <c r="CU248" s="18">
        <v>0</v>
      </c>
      <c r="CV248" s="18">
        <v>0</v>
      </c>
      <c r="CX248" s="18">
        <v>1</v>
      </c>
      <c r="CY248" s="18">
        <v>1</v>
      </c>
      <c r="CZ248" s="18">
        <v>0</v>
      </c>
      <c r="DA248" s="18">
        <v>1</v>
      </c>
      <c r="DB248" s="18">
        <v>0</v>
      </c>
      <c r="DC248" s="18">
        <v>1</v>
      </c>
      <c r="DD248" s="18">
        <v>0</v>
      </c>
      <c r="DE248" s="18" t="s">
        <v>5141</v>
      </c>
      <c r="DF248" s="18" t="s">
        <v>5141</v>
      </c>
      <c r="DG248" s="18">
        <v>1</v>
      </c>
      <c r="DH248" s="18" t="s">
        <v>5141</v>
      </c>
      <c r="DI248" s="18">
        <v>3</v>
      </c>
      <c r="DK248" s="18">
        <v>0</v>
      </c>
      <c r="DL248" s="18">
        <v>0</v>
      </c>
      <c r="DM248" s="18" t="s">
        <v>5127</v>
      </c>
      <c r="DN248" s="18" t="s">
        <v>5299</v>
      </c>
      <c r="DO248" s="18" t="s">
        <v>5143</v>
      </c>
      <c r="DP248" s="18" t="s">
        <v>113</v>
      </c>
      <c r="DQ248" s="18" t="s">
        <v>179</v>
      </c>
      <c r="DS248" s="18">
        <v>0</v>
      </c>
      <c r="DT248" s="18">
        <v>0</v>
      </c>
      <c r="DU248" s="18">
        <v>2</v>
      </c>
      <c r="DV248" s="18" t="s">
        <v>5260</v>
      </c>
      <c r="DX248" s="18" t="s">
        <v>5201</v>
      </c>
      <c r="DY248" s="18" t="s">
        <v>113</v>
      </c>
      <c r="DZ248" s="18" t="s">
        <v>113</v>
      </c>
      <c r="EA248" s="18" t="s">
        <v>6032</v>
      </c>
      <c r="EB248" s="18">
        <v>180</v>
      </c>
      <c r="EC248" s="18" t="s">
        <v>113</v>
      </c>
      <c r="ED248" s="18" t="s">
        <v>5147</v>
      </c>
      <c r="EE248" s="18" t="s">
        <v>113</v>
      </c>
      <c r="EF248" s="18" t="s">
        <v>113</v>
      </c>
      <c r="EG248" s="18" t="s">
        <v>5148</v>
      </c>
      <c r="EH248" s="18" t="s">
        <v>5203</v>
      </c>
      <c r="EI248" s="18" t="s">
        <v>5204</v>
      </c>
      <c r="EJ248" s="18" t="s">
        <v>5287</v>
      </c>
      <c r="EK248" s="18" t="s">
        <v>113</v>
      </c>
      <c r="EL248" s="18" t="s">
        <v>2555</v>
      </c>
      <c r="EM248" s="18" t="s">
        <v>6038</v>
      </c>
      <c r="EN248" s="18" t="s">
        <v>113</v>
      </c>
      <c r="EO248" s="18" t="s">
        <v>113</v>
      </c>
      <c r="EP248" s="18" t="s">
        <v>113</v>
      </c>
      <c r="EQ248" s="18" t="s">
        <v>113</v>
      </c>
      <c r="ER248" s="18" t="s">
        <v>5206</v>
      </c>
      <c r="ES248" s="18" t="s">
        <v>5153</v>
      </c>
      <c r="ET248" s="18" t="s">
        <v>5154</v>
      </c>
      <c r="EU248" s="18" t="s">
        <v>5155</v>
      </c>
      <c r="EV248" s="18" t="s">
        <v>6039</v>
      </c>
      <c r="EW248" s="18" t="s">
        <v>5593</v>
      </c>
      <c r="EX248" s="18" t="s">
        <v>5158</v>
      </c>
      <c r="EY248" s="18" t="s">
        <v>5248</v>
      </c>
      <c r="EZ248" s="18" t="s">
        <v>5308</v>
      </c>
      <c r="FA248" s="18" t="s">
        <v>144</v>
      </c>
      <c r="FB248" s="18" t="s">
        <v>5161</v>
      </c>
    </row>
    <row r="249" spans="1:158" ht="10.5" customHeight="1" x14ac:dyDescent="0.2">
      <c r="A249" s="16">
        <v>41</v>
      </c>
      <c r="B249" s="16" t="s">
        <v>2337</v>
      </c>
      <c r="C249" s="16" t="s">
        <v>2336</v>
      </c>
      <c r="D249" s="16">
        <v>36231</v>
      </c>
      <c r="E249" s="16" t="s">
        <v>6658</v>
      </c>
      <c r="F249" s="18" t="s">
        <v>2336</v>
      </c>
      <c r="G249" s="18" t="s">
        <v>106</v>
      </c>
      <c r="H249" s="15" t="s">
        <v>5127</v>
      </c>
      <c r="I249" s="18">
        <v>35</v>
      </c>
      <c r="J249" s="18">
        <v>18</v>
      </c>
      <c r="K249" s="18">
        <v>17</v>
      </c>
      <c r="L249" s="18">
        <v>0</v>
      </c>
      <c r="M249" s="18" t="s">
        <v>5183</v>
      </c>
      <c r="N249" s="18" t="s">
        <v>6040</v>
      </c>
      <c r="O249" s="18">
        <v>46217</v>
      </c>
      <c r="T249" s="18" t="s">
        <v>111</v>
      </c>
      <c r="U249" s="18" t="s">
        <v>5123</v>
      </c>
      <c r="V249" s="18" t="s">
        <v>106</v>
      </c>
      <c r="W249" s="18" t="s">
        <v>5211</v>
      </c>
      <c r="Y249" s="18" t="s">
        <v>5212</v>
      </c>
      <c r="Z249" s="18" t="s">
        <v>113</v>
      </c>
      <c r="AA249" s="18" t="s">
        <v>5163</v>
      </c>
      <c r="AB249" s="18" t="s">
        <v>179</v>
      </c>
      <c r="AC249" s="18" t="s">
        <v>111</v>
      </c>
      <c r="AD249" s="18" t="s">
        <v>5127</v>
      </c>
      <c r="AE249" s="18" t="s">
        <v>5127</v>
      </c>
      <c r="AF249" s="18" t="s">
        <v>5127</v>
      </c>
      <c r="AG249" s="18" t="s">
        <v>5127</v>
      </c>
      <c r="AH249" s="18" t="s">
        <v>111</v>
      </c>
      <c r="AI249" s="18">
        <v>1</v>
      </c>
      <c r="AK249" s="18" t="s">
        <v>5279</v>
      </c>
      <c r="AN249" s="18">
        <v>0</v>
      </c>
      <c r="AO249" s="18" t="s">
        <v>5186</v>
      </c>
      <c r="AP249" s="18" t="s">
        <v>6041</v>
      </c>
      <c r="AQ249" s="18" t="s">
        <v>6042</v>
      </c>
      <c r="AR249" s="18" t="s">
        <v>5132</v>
      </c>
      <c r="AT249" s="17">
        <f>(365*D249*0.7)/1000</f>
        <v>9257.0205000000005</v>
      </c>
      <c r="AU249" s="17">
        <f t="shared" si="8"/>
        <v>4740</v>
      </c>
      <c r="AV249" s="18">
        <v>4740</v>
      </c>
      <c r="AW249" s="18">
        <v>0</v>
      </c>
      <c r="AY249" s="18" t="s">
        <v>5511</v>
      </c>
      <c r="BG249" s="18" t="s">
        <v>5527</v>
      </c>
      <c r="BQ249" s="18">
        <v>258</v>
      </c>
      <c r="BR249" s="18">
        <v>285</v>
      </c>
      <c r="BS249" s="18">
        <v>52</v>
      </c>
      <c r="BT249" s="18">
        <v>126</v>
      </c>
      <c r="BU249" s="18">
        <v>54</v>
      </c>
      <c r="BV249" s="18">
        <f t="shared" ref="BV249:BV251" si="11">SUM(BQ249:BU249)</f>
        <v>775</v>
      </c>
      <c r="BW249" s="15">
        <f t="shared" si="10"/>
        <v>775</v>
      </c>
      <c r="BY249" s="18" t="s">
        <v>5134</v>
      </c>
      <c r="BZ249" s="18" t="s">
        <v>193</v>
      </c>
      <c r="CD249" s="18" t="s">
        <v>5127</v>
      </c>
      <c r="CE249" s="18" t="s">
        <v>111</v>
      </c>
      <c r="CF249" s="18" t="s">
        <v>5135</v>
      </c>
      <c r="CG249" s="18" t="s">
        <v>6043</v>
      </c>
      <c r="CH249" s="18" t="s">
        <v>5137</v>
      </c>
      <c r="CI249" s="18" t="s">
        <v>5195</v>
      </c>
      <c r="CJ249" s="18" t="s">
        <v>5196</v>
      </c>
      <c r="CK249" s="18" t="s">
        <v>5341</v>
      </c>
      <c r="CL249" s="18">
        <v>2</v>
      </c>
      <c r="CM249" s="18">
        <v>0</v>
      </c>
      <c r="CN249" s="18">
        <v>0</v>
      </c>
      <c r="CO249" s="18">
        <v>1</v>
      </c>
      <c r="CP249" s="18">
        <v>2</v>
      </c>
      <c r="CQ249" s="18">
        <v>1</v>
      </c>
      <c r="CR249" s="18" t="s">
        <v>5141</v>
      </c>
      <c r="CS249" s="18" t="s">
        <v>5141</v>
      </c>
      <c r="CT249" s="18">
        <v>0</v>
      </c>
      <c r="CU249" s="18">
        <v>1</v>
      </c>
      <c r="CV249" s="18">
        <v>0</v>
      </c>
      <c r="CX249" s="18">
        <v>0</v>
      </c>
      <c r="CY249" s="18">
        <v>0</v>
      </c>
      <c r="CZ249" s="18">
        <v>0</v>
      </c>
      <c r="DA249" s="18">
        <v>1</v>
      </c>
      <c r="DB249" s="18">
        <v>0</v>
      </c>
      <c r="DC249" s="18">
        <v>0</v>
      </c>
      <c r="DD249" s="18">
        <v>0</v>
      </c>
      <c r="DE249" s="18">
        <v>0</v>
      </c>
      <c r="DF249" s="18">
        <v>0</v>
      </c>
      <c r="DG249" s="18">
        <v>1</v>
      </c>
      <c r="DH249" s="18">
        <v>1</v>
      </c>
      <c r="DI249" s="18">
        <v>1</v>
      </c>
      <c r="DK249" s="18">
        <v>1</v>
      </c>
      <c r="DL249" s="18">
        <v>0</v>
      </c>
      <c r="DM249" s="18" t="s">
        <v>5127</v>
      </c>
      <c r="DN249" s="18" t="s">
        <v>5258</v>
      </c>
      <c r="DO249" s="18" t="s">
        <v>6044</v>
      </c>
      <c r="DP249" s="18" t="s">
        <v>106</v>
      </c>
      <c r="DQ249" s="18" t="s">
        <v>5132</v>
      </c>
      <c r="DS249" s="18">
        <v>0</v>
      </c>
      <c r="DT249" s="18">
        <v>0</v>
      </c>
      <c r="DU249" s="18">
        <v>1</v>
      </c>
      <c r="DV249" s="18" t="s">
        <v>6045</v>
      </c>
      <c r="DX249" s="18" t="s">
        <v>5145</v>
      </c>
      <c r="DY249" s="18" t="s">
        <v>106</v>
      </c>
      <c r="DZ249" s="18" t="s">
        <v>113</v>
      </c>
      <c r="EA249" s="18" t="s">
        <v>5261</v>
      </c>
      <c r="EB249" s="18">
        <v>776</v>
      </c>
      <c r="EC249" s="18" t="s">
        <v>113</v>
      </c>
      <c r="ED249" s="18" t="s">
        <v>5147</v>
      </c>
      <c r="EE249" s="18" t="s">
        <v>113</v>
      </c>
      <c r="EF249" s="18" t="s">
        <v>113</v>
      </c>
      <c r="EG249" s="18" t="s">
        <v>5326</v>
      </c>
      <c r="EH249" s="18" t="s">
        <v>5203</v>
      </c>
      <c r="EI249" s="18" t="s">
        <v>5204</v>
      </c>
      <c r="EJ249" s="18" t="s">
        <v>5646</v>
      </c>
      <c r="EK249" s="18" t="s">
        <v>113</v>
      </c>
      <c r="EL249" s="18" t="s">
        <v>6046</v>
      </c>
      <c r="EM249" s="18" t="s">
        <v>5227</v>
      </c>
      <c r="EN249" s="18" t="s">
        <v>113</v>
      </c>
      <c r="EO249" s="18" t="s">
        <v>106</v>
      </c>
      <c r="EP249" s="18" t="s">
        <v>113</v>
      </c>
      <c r="EQ249" s="18" t="s">
        <v>106</v>
      </c>
      <c r="ER249" s="18" t="s">
        <v>5152</v>
      </c>
      <c r="ES249" s="18" t="s">
        <v>5378</v>
      </c>
      <c r="ET249" s="18" t="s">
        <v>5154</v>
      </c>
      <c r="EU249" s="18" t="s">
        <v>5318</v>
      </c>
      <c r="EV249" s="18" t="s">
        <v>6047</v>
      </c>
      <c r="EW249" s="18" t="s">
        <v>6048</v>
      </c>
      <c r="EX249" s="18" t="s">
        <v>5158</v>
      </c>
      <c r="EY249" s="18" t="s">
        <v>5229</v>
      </c>
      <c r="EZ249" s="18" t="s">
        <v>6049</v>
      </c>
      <c r="FA249" s="18" t="s">
        <v>144</v>
      </c>
      <c r="FB249" s="18" t="s">
        <v>5161</v>
      </c>
    </row>
    <row r="250" spans="1:158" ht="10.5" customHeight="1" x14ac:dyDescent="0.2">
      <c r="A250" s="16">
        <v>41</v>
      </c>
      <c r="B250" s="16" t="s">
        <v>2347</v>
      </c>
      <c r="C250" s="16" t="s">
        <v>2346</v>
      </c>
      <c r="D250" s="16">
        <v>21851</v>
      </c>
      <c r="E250" s="16" t="s">
        <v>6658</v>
      </c>
      <c r="F250" s="18" t="s">
        <v>2346</v>
      </c>
      <c r="G250" s="18" t="s">
        <v>106</v>
      </c>
      <c r="H250" s="15" t="s">
        <v>5127</v>
      </c>
      <c r="I250" s="18">
        <v>15</v>
      </c>
      <c r="J250" s="18">
        <v>11</v>
      </c>
      <c r="K250" s="18">
        <v>4</v>
      </c>
      <c r="M250" s="18" t="s">
        <v>5183</v>
      </c>
      <c r="N250" s="18" t="s">
        <v>6050</v>
      </c>
      <c r="O250" s="18">
        <v>47650</v>
      </c>
      <c r="T250" s="18" t="s">
        <v>5546</v>
      </c>
      <c r="U250" s="18" t="s">
        <v>5123</v>
      </c>
      <c r="V250" s="18" t="s">
        <v>106</v>
      </c>
      <c r="W250" s="18" t="s">
        <v>5211</v>
      </c>
      <c r="Y250" s="18" t="s">
        <v>6051</v>
      </c>
      <c r="Z250" s="18" t="s">
        <v>106</v>
      </c>
      <c r="AA250" s="18" t="s">
        <v>5163</v>
      </c>
      <c r="AB250" s="18" t="s">
        <v>5213</v>
      </c>
      <c r="AC250" s="18" t="s">
        <v>5127</v>
      </c>
      <c r="AD250" s="18" t="s">
        <v>5127</v>
      </c>
      <c r="AE250" s="18" t="s">
        <v>5127</v>
      </c>
      <c r="AF250" s="18" t="s">
        <v>111</v>
      </c>
      <c r="AG250" s="18" t="s">
        <v>5127</v>
      </c>
      <c r="AH250" s="18" t="s">
        <v>5127</v>
      </c>
      <c r="AI250" s="18">
        <v>1</v>
      </c>
      <c r="AK250" s="18" t="s">
        <v>5164</v>
      </c>
      <c r="AN250" s="18">
        <v>0</v>
      </c>
      <c r="AO250" s="18" t="s">
        <v>5165</v>
      </c>
      <c r="AP250" s="18" t="s">
        <v>6052</v>
      </c>
      <c r="AQ250" s="18" t="s">
        <v>5826</v>
      </c>
      <c r="AR250" s="18" t="s">
        <v>5168</v>
      </c>
      <c r="AT250" s="17">
        <f>(365*D250*0.7)/1000</f>
        <v>5582.9305000000004</v>
      </c>
      <c r="AU250" s="17">
        <f t="shared" si="8"/>
        <v>100</v>
      </c>
      <c r="AV250" s="18">
        <v>100</v>
      </c>
      <c r="AW250" s="18">
        <v>0</v>
      </c>
      <c r="AY250" s="18" t="s">
        <v>5253</v>
      </c>
      <c r="AZ250" s="18">
        <v>0</v>
      </c>
      <c r="BA250" s="18">
        <v>0</v>
      </c>
      <c r="BB250" s="18">
        <v>0</v>
      </c>
      <c r="BD250" s="18">
        <f>200/1000</f>
        <v>0.2</v>
      </c>
      <c r="BE250" s="18">
        <v>0</v>
      </c>
      <c r="BG250" s="18" t="s">
        <v>5169</v>
      </c>
      <c r="BH250" s="18">
        <f>100/1000</f>
        <v>0.1</v>
      </c>
      <c r="BI250" s="18">
        <f>50/1000</f>
        <v>0.05</v>
      </c>
      <c r="BJ250" s="18">
        <f>50/1000</f>
        <v>0.05</v>
      </c>
      <c r="BQ250" s="18">
        <v>4.3</v>
      </c>
      <c r="BR250" s="18">
        <v>2.8</v>
      </c>
      <c r="BS250" s="18">
        <v>2.4</v>
      </c>
      <c r="BT250" s="18">
        <v>2.5</v>
      </c>
      <c r="BU250" s="18">
        <v>6.4</v>
      </c>
      <c r="BV250" s="18">
        <f t="shared" si="11"/>
        <v>18.399999999999999</v>
      </c>
      <c r="BW250" s="15">
        <f t="shared" si="10"/>
        <v>18.399999999999999</v>
      </c>
      <c r="BY250" s="18" t="s">
        <v>5134</v>
      </c>
      <c r="BZ250" s="18" t="s">
        <v>5312</v>
      </c>
      <c r="CD250" s="18" t="s">
        <v>5127</v>
      </c>
      <c r="CE250" s="18" t="s">
        <v>111</v>
      </c>
      <c r="CF250" s="18" t="s">
        <v>5135</v>
      </c>
      <c r="CG250" s="18" t="s">
        <v>5550</v>
      </c>
      <c r="CH250" s="18" t="s">
        <v>5241</v>
      </c>
      <c r="CI250" s="18" t="s">
        <v>5138</v>
      </c>
      <c r="CJ250" s="18" t="s">
        <v>5196</v>
      </c>
      <c r="CK250" s="18" t="s">
        <v>5341</v>
      </c>
      <c r="CL250" s="18">
        <v>2</v>
      </c>
      <c r="CM250" s="18">
        <v>0</v>
      </c>
      <c r="CN250" s="18">
        <v>0</v>
      </c>
      <c r="CO250" s="18">
        <v>1</v>
      </c>
      <c r="CP250" s="18">
        <v>1</v>
      </c>
      <c r="CQ250" s="18">
        <v>0</v>
      </c>
      <c r="CR250" s="18">
        <v>0</v>
      </c>
      <c r="CS250" s="18" t="s">
        <v>5141</v>
      </c>
      <c r="CT250" s="18">
        <v>1</v>
      </c>
      <c r="CU250" s="18">
        <v>1</v>
      </c>
      <c r="CV250" s="18">
        <v>1</v>
      </c>
      <c r="CX250" s="18">
        <v>1</v>
      </c>
      <c r="CY250" s="18">
        <v>2</v>
      </c>
      <c r="CZ250" s="18">
        <v>1</v>
      </c>
      <c r="DA250" s="18">
        <v>1</v>
      </c>
      <c r="DB250" s="18">
        <v>1</v>
      </c>
      <c r="DC250" s="18">
        <v>1</v>
      </c>
      <c r="DD250" s="18">
        <v>1</v>
      </c>
      <c r="DE250" s="18">
        <v>0</v>
      </c>
      <c r="DF250" s="18">
        <v>0</v>
      </c>
      <c r="DG250" s="18">
        <v>0</v>
      </c>
      <c r="DH250" s="18">
        <v>0</v>
      </c>
      <c r="DI250" s="18">
        <v>2</v>
      </c>
      <c r="DK250" s="18">
        <v>0</v>
      </c>
      <c r="DL250" s="18">
        <v>1</v>
      </c>
      <c r="DM250" s="18" t="s">
        <v>5127</v>
      </c>
      <c r="DN250" s="18" t="s">
        <v>5314</v>
      </c>
      <c r="DO250" s="18" t="s">
        <v>5143</v>
      </c>
      <c r="DP250" s="18" t="s">
        <v>106</v>
      </c>
      <c r="DQ250" s="18" t="s">
        <v>5221</v>
      </c>
      <c r="DS250" s="18">
        <v>0</v>
      </c>
      <c r="DT250" s="18">
        <v>1</v>
      </c>
      <c r="DU250" s="18">
        <v>1</v>
      </c>
      <c r="DV250" s="18" t="s">
        <v>5342</v>
      </c>
      <c r="DX250" s="18" t="s">
        <v>5222</v>
      </c>
      <c r="DY250" s="18" t="s">
        <v>106</v>
      </c>
      <c r="DZ250" s="18" t="s">
        <v>113</v>
      </c>
      <c r="EA250" s="18" t="s">
        <v>5285</v>
      </c>
      <c r="EB250" s="18">
        <v>480</v>
      </c>
      <c r="EC250" s="18" t="s">
        <v>106</v>
      </c>
      <c r="ED250" s="18" t="s">
        <v>5147</v>
      </c>
      <c r="EE250" s="18" t="s">
        <v>106</v>
      </c>
      <c r="EF250" s="18" t="s">
        <v>113</v>
      </c>
      <c r="EG250" s="18" t="s">
        <v>5148</v>
      </c>
      <c r="EH250" s="18" t="s">
        <v>5203</v>
      </c>
      <c r="EI250" s="18" t="s">
        <v>5204</v>
      </c>
      <c r="EJ250" s="18" t="s">
        <v>5304</v>
      </c>
      <c r="EK250" s="18" t="s">
        <v>113</v>
      </c>
      <c r="EL250" s="18" t="s">
        <v>6053</v>
      </c>
      <c r="EM250" s="18" t="s">
        <v>5227</v>
      </c>
      <c r="EN250" s="18" t="s">
        <v>113</v>
      </c>
      <c r="EO250" s="18" t="s">
        <v>113</v>
      </c>
      <c r="EP250" s="18" t="s">
        <v>113</v>
      </c>
      <c r="EQ250" s="18" t="s">
        <v>113</v>
      </c>
      <c r="ER250" s="18" t="s">
        <v>5206</v>
      </c>
      <c r="ES250" s="18" t="s">
        <v>5153</v>
      </c>
      <c r="ET250" s="18" t="s">
        <v>5154</v>
      </c>
      <c r="EU250" s="18" t="s">
        <v>5155</v>
      </c>
      <c r="EV250" s="18" t="s">
        <v>5482</v>
      </c>
      <c r="EW250" s="18" t="s">
        <v>5881</v>
      </c>
      <c r="EX250" s="18" t="s">
        <v>5158</v>
      </c>
      <c r="EY250" s="18" t="s">
        <v>5229</v>
      </c>
      <c r="EZ250" s="18" t="s">
        <v>5182</v>
      </c>
      <c r="FA250" s="18" t="s">
        <v>144</v>
      </c>
      <c r="FB250" s="18" t="s">
        <v>5161</v>
      </c>
    </row>
    <row r="251" spans="1:158" ht="10.5" customHeight="1" x14ac:dyDescent="0.2">
      <c r="A251" s="16">
        <v>41</v>
      </c>
      <c r="B251" s="16" t="s">
        <v>2359</v>
      </c>
      <c r="C251" s="16" t="s">
        <v>2358</v>
      </c>
      <c r="D251" s="16">
        <v>5835</v>
      </c>
      <c r="E251" s="16" t="s">
        <v>6656</v>
      </c>
      <c r="F251" s="18" t="s">
        <v>2358</v>
      </c>
      <c r="G251" s="18" t="s">
        <v>106</v>
      </c>
      <c r="H251" s="15" t="s">
        <v>5127</v>
      </c>
      <c r="I251" s="18">
        <v>10</v>
      </c>
      <c r="J251" s="18">
        <v>4</v>
      </c>
      <c r="K251" s="18">
        <v>6</v>
      </c>
      <c r="L251" s="18">
        <v>0</v>
      </c>
      <c r="M251" s="18" t="s">
        <v>5183</v>
      </c>
      <c r="N251" s="18">
        <v>0</v>
      </c>
      <c r="T251" s="18" t="s">
        <v>111</v>
      </c>
      <c r="U251" s="18" t="s">
        <v>5250</v>
      </c>
      <c r="V251" s="18" t="s">
        <v>113</v>
      </c>
      <c r="W251" s="18" t="s">
        <v>5211</v>
      </c>
      <c r="Y251" s="18" t="s">
        <v>5162</v>
      </c>
      <c r="Z251" s="18" t="s">
        <v>106</v>
      </c>
      <c r="AA251" s="18" t="s">
        <v>5163</v>
      </c>
      <c r="AB251" s="18" t="s">
        <v>5213</v>
      </c>
      <c r="AC251" s="18" t="s">
        <v>5127</v>
      </c>
      <c r="AD251" s="18" t="s">
        <v>5127</v>
      </c>
      <c r="AE251" s="18" t="s">
        <v>5127</v>
      </c>
      <c r="AF251" s="18" t="s">
        <v>5127</v>
      </c>
      <c r="AG251" s="18" t="s">
        <v>5127</v>
      </c>
      <c r="AH251" s="18" t="s">
        <v>5127</v>
      </c>
      <c r="AI251" s="18">
        <v>1</v>
      </c>
      <c r="AK251" s="18" t="s">
        <v>5164</v>
      </c>
      <c r="AN251" s="18">
        <v>180</v>
      </c>
      <c r="AO251" s="18" t="s">
        <v>6054</v>
      </c>
      <c r="AP251" s="18" t="s">
        <v>6055</v>
      </c>
      <c r="AQ251" s="18" t="s">
        <v>164</v>
      </c>
      <c r="AR251" s="18" t="s">
        <v>5464</v>
      </c>
      <c r="AT251" s="17">
        <f>(365*D251*0.7)/1000</f>
        <v>1490.8425</v>
      </c>
      <c r="AU251" s="17">
        <f t="shared" si="8"/>
        <v>0</v>
      </c>
      <c r="AV251" s="18">
        <v>0</v>
      </c>
      <c r="AW251" s="18">
        <v>0</v>
      </c>
      <c r="AY251" s="18" t="s">
        <v>5253</v>
      </c>
      <c r="BG251" s="18" t="s">
        <v>5281</v>
      </c>
      <c r="BQ251" s="18">
        <v>35</v>
      </c>
      <c r="BR251" s="18">
        <v>35</v>
      </c>
      <c r="BS251" s="18">
        <v>35</v>
      </c>
      <c r="BT251" s="18">
        <v>10</v>
      </c>
      <c r="BU251" s="18">
        <v>65</v>
      </c>
      <c r="BV251" s="18">
        <f t="shared" si="11"/>
        <v>180</v>
      </c>
      <c r="BW251" s="15">
        <f t="shared" si="10"/>
        <v>180</v>
      </c>
      <c r="BY251" s="18" t="s">
        <v>6056</v>
      </c>
      <c r="BZ251" s="18" t="s">
        <v>193</v>
      </c>
      <c r="CD251" s="18" t="s">
        <v>5127</v>
      </c>
      <c r="CE251" s="18" t="s">
        <v>111</v>
      </c>
      <c r="CF251" s="18" t="s">
        <v>5135</v>
      </c>
      <c r="CG251" s="18" t="s">
        <v>5651</v>
      </c>
      <c r="CH251" s="18" t="s">
        <v>5241</v>
      </c>
      <c r="CI251" s="18" t="s">
        <v>111</v>
      </c>
      <c r="CJ251" s="18" t="s">
        <v>5139</v>
      </c>
      <c r="CK251" s="18" t="s">
        <v>179</v>
      </c>
      <c r="CL251" s="18">
        <v>2</v>
      </c>
      <c r="CM251" s="18">
        <v>0</v>
      </c>
      <c r="CN251" s="18">
        <v>0</v>
      </c>
      <c r="CO251" s="18">
        <v>1</v>
      </c>
      <c r="CP251" s="18">
        <v>0</v>
      </c>
      <c r="CQ251" s="18">
        <v>1</v>
      </c>
      <c r="CR251" s="18">
        <v>0</v>
      </c>
      <c r="CS251" s="18" t="s">
        <v>5141</v>
      </c>
      <c r="CT251" s="18">
        <v>0</v>
      </c>
      <c r="CU251" s="18">
        <v>0</v>
      </c>
      <c r="CV251" s="18">
        <v>1</v>
      </c>
      <c r="CX251" s="18">
        <v>0</v>
      </c>
      <c r="CY251" s="18">
        <v>1</v>
      </c>
      <c r="CZ251" s="18">
        <v>0</v>
      </c>
      <c r="DA251" s="18">
        <v>1</v>
      </c>
      <c r="DB251" s="18">
        <v>0</v>
      </c>
      <c r="DC251" s="18">
        <v>1</v>
      </c>
      <c r="DD251" s="18">
        <v>1</v>
      </c>
      <c r="DE251" s="18">
        <v>1</v>
      </c>
      <c r="DF251" s="18" t="s">
        <v>5141</v>
      </c>
      <c r="DG251" s="18">
        <v>1</v>
      </c>
      <c r="DH251" s="18">
        <v>1</v>
      </c>
      <c r="DI251" s="18">
        <v>2</v>
      </c>
      <c r="DK251" s="18">
        <v>0</v>
      </c>
      <c r="DL251" s="18">
        <v>1</v>
      </c>
      <c r="DM251" s="18" t="s">
        <v>111</v>
      </c>
      <c r="DN251" s="18" t="s">
        <v>5314</v>
      </c>
      <c r="DO251" s="18" t="s">
        <v>5173</v>
      </c>
      <c r="DP251" s="18" t="s">
        <v>113</v>
      </c>
      <c r="DQ251" s="18" t="s">
        <v>5464</v>
      </c>
      <c r="DS251" s="18">
        <v>0</v>
      </c>
      <c r="DT251" s="18">
        <v>0</v>
      </c>
      <c r="DU251" s="18">
        <v>1</v>
      </c>
      <c r="DV251" s="18" t="s">
        <v>5377</v>
      </c>
      <c r="DX251" s="18" t="s">
        <v>5145</v>
      </c>
      <c r="DY251" s="18" t="s">
        <v>106</v>
      </c>
      <c r="DZ251" s="18" t="s">
        <v>113</v>
      </c>
      <c r="EA251" s="18" t="s">
        <v>6032</v>
      </c>
      <c r="EB251" s="18">
        <v>0</v>
      </c>
      <c r="EC251" s="18" t="s">
        <v>106</v>
      </c>
      <c r="ED251" s="18" t="s">
        <v>5176</v>
      </c>
      <c r="EE251" s="18" t="s">
        <v>113</v>
      </c>
      <c r="EF251" s="18" t="s">
        <v>113</v>
      </c>
      <c r="EG251" s="18" t="s">
        <v>5404</v>
      </c>
      <c r="EH251" s="18" t="s">
        <v>5149</v>
      </c>
      <c r="EI251" s="18" t="s">
        <v>5204</v>
      </c>
      <c r="EJ251" s="18" t="s">
        <v>5343</v>
      </c>
      <c r="EN251" s="18" t="s">
        <v>113</v>
      </c>
      <c r="EO251" s="18" t="s">
        <v>113</v>
      </c>
      <c r="EP251" s="18" t="s">
        <v>113</v>
      </c>
      <c r="EQ251" s="18" t="s">
        <v>113</v>
      </c>
      <c r="ER251" s="18" t="s">
        <v>5152</v>
      </c>
      <c r="ES251" s="18" t="s">
        <v>5153</v>
      </c>
      <c r="ET251" s="18" t="s">
        <v>5154</v>
      </c>
      <c r="EV251" s="18" t="s">
        <v>5363</v>
      </c>
      <c r="EW251" s="18" t="s">
        <v>5320</v>
      </c>
      <c r="EX251" s="18" t="s">
        <v>5265</v>
      </c>
      <c r="EY251" s="18" t="s">
        <v>5248</v>
      </c>
      <c r="EZ251" s="18" t="s">
        <v>5160</v>
      </c>
      <c r="FA251" s="18" t="s">
        <v>144</v>
      </c>
      <c r="FB251" s="18" t="s">
        <v>5161</v>
      </c>
    </row>
    <row r="252" spans="1:158" ht="10.5" customHeight="1" x14ac:dyDescent="0.2">
      <c r="A252" s="16">
        <v>41</v>
      </c>
      <c r="B252" s="16" t="s">
        <v>2373</v>
      </c>
      <c r="C252" s="16" t="s">
        <v>2372</v>
      </c>
      <c r="D252" s="16">
        <v>5060</v>
      </c>
      <c r="E252" s="16" t="s">
        <v>6656</v>
      </c>
      <c r="F252" s="18" t="s">
        <v>2372</v>
      </c>
      <c r="G252" s="18" t="s">
        <v>113</v>
      </c>
      <c r="H252" s="15" t="s">
        <v>111</v>
      </c>
      <c r="AT252" s="17">
        <f>(365*D252*0.7)/1000</f>
        <v>1292.83</v>
      </c>
      <c r="AU252" s="17">
        <f t="shared" si="8"/>
        <v>0</v>
      </c>
      <c r="BW252" s="15">
        <f t="shared" si="10"/>
        <v>0</v>
      </c>
    </row>
    <row r="253" spans="1:158" ht="10.5" customHeight="1" x14ac:dyDescent="0.2">
      <c r="A253" s="16">
        <v>41</v>
      </c>
      <c r="B253" s="16" t="s">
        <v>2384</v>
      </c>
      <c r="C253" s="16" t="s">
        <v>2383</v>
      </c>
      <c r="D253" s="16">
        <v>9354</v>
      </c>
      <c r="E253" s="16" t="s">
        <v>6656</v>
      </c>
      <c r="H253" s="15" t="s">
        <v>6661</v>
      </c>
      <c r="AT253" s="17">
        <f>(365*D253*0.7)/1000</f>
        <v>2389.9470000000001</v>
      </c>
      <c r="AU253" s="17">
        <f t="shared" si="8"/>
        <v>0</v>
      </c>
      <c r="BW253" s="15">
        <f t="shared" si="10"/>
        <v>0</v>
      </c>
    </row>
    <row r="254" spans="1:158" ht="10.5" customHeight="1" x14ac:dyDescent="0.2">
      <c r="A254" s="16">
        <v>41</v>
      </c>
      <c r="B254" s="16" t="s">
        <v>2398</v>
      </c>
      <c r="C254" s="16" t="s">
        <v>2397</v>
      </c>
      <c r="D254" s="16">
        <v>12130</v>
      </c>
      <c r="E254" s="16" t="s">
        <v>6656</v>
      </c>
      <c r="F254" s="18" t="s">
        <v>2397</v>
      </c>
      <c r="G254" s="18" t="s">
        <v>106</v>
      </c>
      <c r="H254" s="15" t="s">
        <v>5127</v>
      </c>
      <c r="I254" s="18">
        <v>12</v>
      </c>
      <c r="J254" s="18">
        <v>6</v>
      </c>
      <c r="K254" s="18">
        <v>6</v>
      </c>
      <c r="L254" s="18">
        <v>0</v>
      </c>
      <c r="M254" s="18" t="s">
        <v>5183</v>
      </c>
      <c r="N254" s="18" t="s">
        <v>6057</v>
      </c>
      <c r="O254" s="18">
        <v>46098</v>
      </c>
      <c r="T254" s="18" t="s">
        <v>6058</v>
      </c>
      <c r="U254" s="18" t="s">
        <v>5250</v>
      </c>
      <c r="V254" s="18" t="s">
        <v>106</v>
      </c>
      <c r="W254" s="18" t="s">
        <v>5211</v>
      </c>
      <c r="Y254" s="18" t="s">
        <v>5162</v>
      </c>
      <c r="Z254" s="18" t="s">
        <v>106</v>
      </c>
      <c r="AA254" s="18" t="s">
        <v>5267</v>
      </c>
      <c r="AC254" s="18" t="s">
        <v>5127</v>
      </c>
      <c r="AD254" s="18" t="s">
        <v>5127</v>
      </c>
      <c r="AE254" s="18" t="s">
        <v>111</v>
      </c>
      <c r="AF254" s="18" t="s">
        <v>111</v>
      </c>
      <c r="AG254" s="18" t="s">
        <v>111</v>
      </c>
      <c r="AH254" s="18" t="s">
        <v>111</v>
      </c>
      <c r="AI254" s="18">
        <v>0</v>
      </c>
      <c r="AK254" s="18" t="s">
        <v>5164</v>
      </c>
      <c r="AN254" s="18">
        <v>1000</v>
      </c>
      <c r="AO254" s="18" t="s">
        <v>5129</v>
      </c>
      <c r="AP254" s="18" t="s">
        <v>6059</v>
      </c>
      <c r="AQ254" s="18" t="s">
        <v>5711</v>
      </c>
      <c r="AR254" s="18" t="s">
        <v>5168</v>
      </c>
      <c r="AT254" s="17">
        <f>(365*D254*0.7)/1000</f>
        <v>3099.2150000000001</v>
      </c>
      <c r="AU254" s="17">
        <f t="shared" si="8"/>
        <v>500</v>
      </c>
      <c r="AV254" s="18">
        <v>500</v>
      </c>
      <c r="AW254" s="18">
        <v>0</v>
      </c>
      <c r="AY254" s="18" t="s">
        <v>5334</v>
      </c>
      <c r="BD254" s="18">
        <v>0</v>
      </c>
      <c r="BG254" s="18" t="s">
        <v>5815</v>
      </c>
      <c r="BQ254" s="18">
        <v>0</v>
      </c>
      <c r="BR254" s="18">
        <v>0</v>
      </c>
      <c r="BS254" s="18">
        <v>0</v>
      </c>
      <c r="BT254" s="18">
        <v>0</v>
      </c>
      <c r="BU254" s="18">
        <v>0</v>
      </c>
      <c r="BV254" s="18">
        <v>0</v>
      </c>
      <c r="BW254" s="15">
        <f t="shared" si="10"/>
        <v>0</v>
      </c>
      <c r="BY254" s="18" t="s">
        <v>5134</v>
      </c>
      <c r="BZ254" s="18" t="s">
        <v>193</v>
      </c>
      <c r="CD254" s="18" t="s">
        <v>5127</v>
      </c>
      <c r="CE254" s="18" t="s">
        <v>111</v>
      </c>
      <c r="CF254" s="18" t="s">
        <v>5135</v>
      </c>
      <c r="CG254" s="18" t="s">
        <v>5193</v>
      </c>
      <c r="CH254" s="18" t="s">
        <v>5137</v>
      </c>
      <c r="CI254" s="18" t="s">
        <v>5138</v>
      </c>
      <c r="CJ254" s="18" t="s">
        <v>5196</v>
      </c>
      <c r="CK254" s="18" t="s">
        <v>5197</v>
      </c>
      <c r="CL254" s="18">
        <v>0</v>
      </c>
      <c r="CM254" s="18">
        <v>0</v>
      </c>
      <c r="CN254" s="18">
        <v>0</v>
      </c>
      <c r="CO254" s="18">
        <v>0</v>
      </c>
      <c r="CP254" s="18">
        <v>2</v>
      </c>
      <c r="CQ254" s="18">
        <v>0</v>
      </c>
      <c r="CR254" s="18">
        <v>0</v>
      </c>
      <c r="CS254" s="18" t="s">
        <v>5141</v>
      </c>
      <c r="CT254" s="18">
        <v>0</v>
      </c>
      <c r="CU254" s="18">
        <v>0</v>
      </c>
      <c r="CV254" s="18">
        <v>0</v>
      </c>
      <c r="CX254" s="18">
        <v>1</v>
      </c>
      <c r="CY254" s="18">
        <v>1</v>
      </c>
      <c r="CZ254" s="18">
        <v>1</v>
      </c>
      <c r="DA254" s="18">
        <v>1</v>
      </c>
      <c r="DB254" s="18">
        <v>1</v>
      </c>
      <c r="DC254" s="18">
        <v>0</v>
      </c>
      <c r="DD254" s="18">
        <v>1</v>
      </c>
      <c r="DE254" s="18" t="s">
        <v>5141</v>
      </c>
      <c r="DF254" s="18" t="s">
        <v>5141</v>
      </c>
      <c r="DG254" s="18">
        <v>1</v>
      </c>
      <c r="DH254" s="18">
        <v>1</v>
      </c>
      <c r="DI254" s="18">
        <v>1</v>
      </c>
      <c r="DK254" s="18">
        <v>0</v>
      </c>
      <c r="DL254" s="18">
        <v>1</v>
      </c>
      <c r="DM254" s="18" t="s">
        <v>5127</v>
      </c>
      <c r="DN254" s="18" t="s">
        <v>5299</v>
      </c>
      <c r="DO254" s="18" t="s">
        <v>5300</v>
      </c>
      <c r="DP254" s="18" t="s">
        <v>113</v>
      </c>
      <c r="DS254" s="18">
        <v>0</v>
      </c>
      <c r="DT254" s="18">
        <v>0</v>
      </c>
      <c r="DU254" s="18">
        <v>0</v>
      </c>
      <c r="DV254" s="18" t="s">
        <v>5342</v>
      </c>
      <c r="DX254" s="18" t="s">
        <v>5145</v>
      </c>
      <c r="DY254" s="18" t="s">
        <v>113</v>
      </c>
      <c r="DZ254" s="18" t="s">
        <v>113</v>
      </c>
      <c r="EA254" s="18" t="s">
        <v>5261</v>
      </c>
      <c r="EB254" s="18">
        <v>500</v>
      </c>
      <c r="EC254" s="18" t="s">
        <v>106</v>
      </c>
      <c r="ED254" s="18" t="s">
        <v>5176</v>
      </c>
      <c r="EE254" s="18" t="s">
        <v>106</v>
      </c>
      <c r="EF254" s="18" t="s">
        <v>113</v>
      </c>
      <c r="EG254" s="18" t="s">
        <v>5148</v>
      </c>
      <c r="EH254" s="18" t="s">
        <v>5203</v>
      </c>
      <c r="EI254" s="18" t="s">
        <v>5204</v>
      </c>
      <c r="EJ254" s="18" t="s">
        <v>5287</v>
      </c>
      <c r="EN254" s="18" t="s">
        <v>113</v>
      </c>
      <c r="EO254" s="18" t="s">
        <v>113</v>
      </c>
      <c r="EP254" s="18" t="s">
        <v>113</v>
      </c>
      <c r="EQ254" s="18" t="s">
        <v>113</v>
      </c>
      <c r="ER254" s="18" t="s">
        <v>5206</v>
      </c>
      <c r="ES254" s="18" t="s">
        <v>5153</v>
      </c>
      <c r="ET254" s="18" t="s">
        <v>5154</v>
      </c>
      <c r="EU254" s="18" t="s">
        <v>5155</v>
      </c>
      <c r="EV254" s="18" t="s">
        <v>5967</v>
      </c>
      <c r="EW254" s="18" t="s">
        <v>5563</v>
      </c>
      <c r="EX254" s="18" t="s">
        <v>5158</v>
      </c>
      <c r="EY254" s="18" t="s">
        <v>6060</v>
      </c>
      <c r="EZ254" s="18" t="s">
        <v>5182</v>
      </c>
      <c r="FA254" s="18" t="s">
        <v>144</v>
      </c>
      <c r="FB254" s="18" t="s">
        <v>5161</v>
      </c>
    </row>
    <row r="255" spans="1:158" ht="10.5" customHeight="1" x14ac:dyDescent="0.2">
      <c r="A255" s="16">
        <v>41</v>
      </c>
      <c r="B255" s="16" t="s">
        <v>2411</v>
      </c>
      <c r="C255" s="16" t="s">
        <v>2410</v>
      </c>
      <c r="D255" s="16">
        <v>1353</v>
      </c>
      <c r="E255" s="16" t="s">
        <v>6656</v>
      </c>
      <c r="F255" s="18" t="s">
        <v>2410</v>
      </c>
      <c r="G255" s="18" t="s">
        <v>113</v>
      </c>
      <c r="H255" s="15" t="s">
        <v>111</v>
      </c>
      <c r="AT255" s="17">
        <f>(365*D255*0.7)/1000</f>
        <v>345.69150000000002</v>
      </c>
      <c r="AU255" s="17">
        <f t="shared" si="8"/>
        <v>0</v>
      </c>
      <c r="BW255" s="15">
        <f t="shared" si="10"/>
        <v>0</v>
      </c>
    </row>
    <row r="256" spans="1:158" ht="10.5" customHeight="1" x14ac:dyDescent="0.2">
      <c r="A256" s="16">
        <v>41</v>
      </c>
      <c r="B256" s="16" t="s">
        <v>2424</v>
      </c>
      <c r="C256" s="16" t="s">
        <v>2423</v>
      </c>
      <c r="D256" s="16">
        <v>11971</v>
      </c>
      <c r="E256" s="16" t="s">
        <v>6656</v>
      </c>
      <c r="F256" s="18" t="s">
        <v>2423</v>
      </c>
      <c r="G256" s="18" t="s">
        <v>106</v>
      </c>
      <c r="H256" s="15" t="s">
        <v>5127</v>
      </c>
      <c r="I256" s="18">
        <v>15</v>
      </c>
      <c r="J256" s="18">
        <v>10</v>
      </c>
      <c r="K256" s="18">
        <v>5</v>
      </c>
      <c r="L256" s="18">
        <v>0</v>
      </c>
      <c r="M256" s="18" t="s">
        <v>5121</v>
      </c>
      <c r="N256" s="18" t="s">
        <v>6061</v>
      </c>
      <c r="O256" s="18">
        <v>46477</v>
      </c>
      <c r="T256" s="18" t="s">
        <v>111</v>
      </c>
      <c r="U256" s="18" t="s">
        <v>5250</v>
      </c>
      <c r="V256" s="18" t="s">
        <v>106</v>
      </c>
      <c r="W256" s="18" t="s">
        <v>5211</v>
      </c>
      <c r="Y256" s="18" t="s">
        <v>5162</v>
      </c>
      <c r="Z256" s="18" t="s">
        <v>106</v>
      </c>
      <c r="AA256" s="18" t="s">
        <v>5163</v>
      </c>
      <c r="AB256" s="18" t="s">
        <v>179</v>
      </c>
      <c r="AC256" s="18" t="s">
        <v>5127</v>
      </c>
      <c r="AD256" s="18" t="s">
        <v>5127</v>
      </c>
      <c r="AE256" s="18" t="s">
        <v>5127</v>
      </c>
      <c r="AF256" s="18" t="s">
        <v>5127</v>
      </c>
      <c r="AG256" s="18" t="s">
        <v>5127</v>
      </c>
      <c r="AH256" s="18" t="s">
        <v>5127</v>
      </c>
      <c r="AI256" s="18">
        <v>1</v>
      </c>
      <c r="AK256" s="18" t="s">
        <v>5164</v>
      </c>
      <c r="AN256" s="18">
        <v>700</v>
      </c>
      <c r="AO256" s="18" t="s">
        <v>5186</v>
      </c>
      <c r="AP256" s="18" t="s">
        <v>6062</v>
      </c>
      <c r="AQ256" s="18" t="s">
        <v>5393</v>
      </c>
      <c r="AR256" s="18" t="s">
        <v>5168</v>
      </c>
      <c r="AT256" s="17">
        <f>(365*D256*0.7)/1000</f>
        <v>3058.5904999999998</v>
      </c>
      <c r="AU256" s="17">
        <f t="shared" si="8"/>
        <v>0</v>
      </c>
      <c r="AV256" s="18">
        <v>0</v>
      </c>
      <c r="AW256" s="18">
        <v>0</v>
      </c>
      <c r="AY256" s="18" t="s">
        <v>5217</v>
      </c>
      <c r="AZ256" s="18">
        <v>0</v>
      </c>
      <c r="BA256" s="18">
        <v>0</v>
      </c>
      <c r="BB256" s="18">
        <v>0</v>
      </c>
      <c r="BD256" s="18">
        <v>0</v>
      </c>
      <c r="BE256" s="18">
        <v>0</v>
      </c>
      <c r="BG256" s="18" t="s">
        <v>6063</v>
      </c>
      <c r="BH256" s="18">
        <v>0</v>
      </c>
      <c r="BI256" s="18">
        <v>0</v>
      </c>
      <c r="BJ256" s="18">
        <v>0</v>
      </c>
      <c r="BQ256" s="18">
        <v>70</v>
      </c>
      <c r="BR256" s="18">
        <v>70</v>
      </c>
      <c r="BS256" s="18">
        <v>30</v>
      </c>
      <c r="BT256" s="18">
        <v>40</v>
      </c>
      <c r="BU256" s="18">
        <v>90</v>
      </c>
      <c r="BV256" s="18">
        <v>300</v>
      </c>
      <c r="BW256" s="15">
        <f t="shared" si="10"/>
        <v>300</v>
      </c>
      <c r="BY256" s="18" t="s">
        <v>5322</v>
      </c>
      <c r="BZ256" s="18" t="s">
        <v>5395</v>
      </c>
      <c r="CD256" s="18" t="s">
        <v>5127</v>
      </c>
      <c r="CE256" s="18" t="s">
        <v>5127</v>
      </c>
      <c r="CF256" s="18" t="s">
        <v>5135</v>
      </c>
      <c r="CG256" s="18" t="s">
        <v>5570</v>
      </c>
      <c r="CH256" s="18" t="s">
        <v>5564</v>
      </c>
      <c r="CI256" s="18" t="s">
        <v>5195</v>
      </c>
      <c r="CJ256" s="18" t="s">
        <v>5139</v>
      </c>
      <c r="CK256" s="18" t="s">
        <v>179</v>
      </c>
      <c r="CL256" s="18">
        <v>2</v>
      </c>
      <c r="CM256" s="18">
        <v>0</v>
      </c>
      <c r="CN256" s="18">
        <v>0</v>
      </c>
      <c r="CO256" s="18">
        <v>1</v>
      </c>
      <c r="CP256" s="18">
        <v>0</v>
      </c>
      <c r="CQ256" s="18">
        <v>1</v>
      </c>
      <c r="CR256" s="18">
        <v>0</v>
      </c>
      <c r="CS256" s="18" t="s">
        <v>5141</v>
      </c>
      <c r="CT256" s="18">
        <v>0</v>
      </c>
      <c r="CU256" s="18">
        <v>0</v>
      </c>
      <c r="CV256" s="18">
        <v>1</v>
      </c>
      <c r="CX256" s="18">
        <v>1</v>
      </c>
      <c r="CY256" s="18">
        <v>1</v>
      </c>
      <c r="CZ256" s="18">
        <v>2</v>
      </c>
      <c r="DA256" s="18">
        <v>1</v>
      </c>
      <c r="DB256" s="18">
        <v>1</v>
      </c>
      <c r="DC256" s="18">
        <v>2</v>
      </c>
      <c r="DD256" s="18">
        <v>2</v>
      </c>
      <c r="DE256" s="18">
        <v>1</v>
      </c>
      <c r="DF256" s="18" t="s">
        <v>5141</v>
      </c>
      <c r="DG256" s="18">
        <v>2</v>
      </c>
      <c r="DH256" s="18">
        <v>1</v>
      </c>
      <c r="DI256" s="18">
        <v>1</v>
      </c>
      <c r="DK256" s="18">
        <v>0</v>
      </c>
      <c r="DL256" s="18">
        <v>0</v>
      </c>
      <c r="DM256" s="18" t="s">
        <v>5127</v>
      </c>
      <c r="DN256" s="18" t="s">
        <v>5258</v>
      </c>
      <c r="DO256" s="18" t="s">
        <v>5488</v>
      </c>
      <c r="DP256" s="18" t="s">
        <v>113</v>
      </c>
      <c r="DQ256" s="18" t="s">
        <v>5168</v>
      </c>
      <c r="DS256" s="18">
        <v>0</v>
      </c>
      <c r="DT256" s="18">
        <v>0</v>
      </c>
      <c r="DU256" s="18">
        <v>2</v>
      </c>
      <c r="DV256" s="18" t="s">
        <v>5301</v>
      </c>
      <c r="DX256" s="18" t="s">
        <v>5201</v>
      </c>
      <c r="DY256" s="18" t="s">
        <v>106</v>
      </c>
      <c r="DZ256" s="18" t="s">
        <v>113</v>
      </c>
      <c r="EA256" s="18" t="s">
        <v>6064</v>
      </c>
      <c r="EB256" s="18">
        <v>300</v>
      </c>
      <c r="EC256" s="18" t="s">
        <v>106</v>
      </c>
      <c r="ED256" s="18" t="s">
        <v>5147</v>
      </c>
      <c r="EE256" s="18" t="s">
        <v>106</v>
      </c>
      <c r="EF256" s="18" t="s">
        <v>113</v>
      </c>
      <c r="EG256" s="18" t="s">
        <v>5326</v>
      </c>
      <c r="EH256" s="18" t="s">
        <v>5203</v>
      </c>
      <c r="EI256" s="18" t="s">
        <v>6065</v>
      </c>
      <c r="EJ256" s="18" t="s">
        <v>5287</v>
      </c>
      <c r="EK256" s="18" t="s">
        <v>113</v>
      </c>
      <c r="EL256" s="18" t="s">
        <v>6066</v>
      </c>
      <c r="EM256" s="18" t="s">
        <v>5227</v>
      </c>
      <c r="EN256" s="18" t="s">
        <v>113</v>
      </c>
      <c r="EO256" s="18" t="s">
        <v>113</v>
      </c>
      <c r="EP256" s="18" t="s">
        <v>113</v>
      </c>
      <c r="EQ256" s="18" t="s">
        <v>113</v>
      </c>
      <c r="ER256" s="18" t="s">
        <v>5152</v>
      </c>
      <c r="ES256" s="18" t="s">
        <v>5153</v>
      </c>
      <c r="ET256" s="18" t="s">
        <v>5154</v>
      </c>
      <c r="EU256" s="18" t="s">
        <v>5155</v>
      </c>
      <c r="EV256" s="18" t="s">
        <v>6039</v>
      </c>
      <c r="EW256" s="18" t="s">
        <v>5766</v>
      </c>
      <c r="EX256" s="18" t="s">
        <v>5307</v>
      </c>
      <c r="EY256" s="18" t="s">
        <v>5229</v>
      </c>
      <c r="EZ256" s="18" t="s">
        <v>5160</v>
      </c>
      <c r="FA256" s="18" t="s">
        <v>144</v>
      </c>
      <c r="FB256" s="18" t="s">
        <v>5161</v>
      </c>
    </row>
    <row r="257" spans="1:158" ht="10.5" customHeight="1" x14ac:dyDescent="0.2">
      <c r="A257" s="16">
        <v>41</v>
      </c>
      <c r="B257" s="16" t="s">
        <v>2897</v>
      </c>
      <c r="C257" s="16" t="s">
        <v>2898</v>
      </c>
      <c r="D257" s="16">
        <v>10860</v>
      </c>
      <c r="E257" s="16" t="s">
        <v>6656</v>
      </c>
      <c r="H257" s="15" t="s">
        <v>6661</v>
      </c>
      <c r="AT257" s="17">
        <f>(365*D257*0.7)/1000</f>
        <v>2774.73</v>
      </c>
      <c r="AU257" s="17">
        <f t="shared" si="8"/>
        <v>0</v>
      </c>
      <c r="BW257" s="15">
        <f t="shared" si="10"/>
        <v>0</v>
      </c>
    </row>
    <row r="258" spans="1:158" ht="10.5" customHeight="1" x14ac:dyDescent="0.2">
      <c r="A258" s="16">
        <v>41</v>
      </c>
      <c r="B258" s="16" t="s">
        <v>3119</v>
      </c>
      <c r="C258" s="16" t="s">
        <v>2440</v>
      </c>
      <c r="D258" s="16">
        <v>12280</v>
      </c>
      <c r="E258" s="16" t="s">
        <v>6656</v>
      </c>
      <c r="H258" s="15" t="s">
        <v>6661</v>
      </c>
      <c r="AT258" s="17">
        <f>(365*D258*0.7)/1000</f>
        <v>3137.54</v>
      </c>
      <c r="AU258" s="17">
        <f t="shared" si="8"/>
        <v>0</v>
      </c>
      <c r="AZ258" s="18">
        <f>D258*5*0.015/1000</f>
        <v>0.92100000000000004</v>
      </c>
      <c r="BW258" s="15">
        <f t="shared" si="10"/>
        <v>0</v>
      </c>
    </row>
    <row r="259" spans="1:158" ht="10.5" customHeight="1" x14ac:dyDescent="0.2">
      <c r="A259" s="16">
        <v>41</v>
      </c>
      <c r="B259" s="16" t="s">
        <v>2438</v>
      </c>
      <c r="C259" s="16" t="s">
        <v>2437</v>
      </c>
      <c r="D259" s="16">
        <v>3366</v>
      </c>
      <c r="E259" s="16" t="s">
        <v>6656</v>
      </c>
      <c r="F259" s="18" t="s">
        <v>2437</v>
      </c>
      <c r="G259" s="18" t="s">
        <v>113</v>
      </c>
      <c r="H259" s="15" t="s">
        <v>111</v>
      </c>
      <c r="AT259" s="17">
        <f>(365*D259*0.7)/1000</f>
        <v>860.01300000000003</v>
      </c>
      <c r="AU259" s="17">
        <f t="shared" ref="AU259:AU322" si="12">SUM(AV259:AX259)</f>
        <v>0</v>
      </c>
      <c r="AZ259" s="18">
        <f>D259*5*0.015/1000</f>
        <v>0.25245000000000001</v>
      </c>
      <c r="BW259" s="15">
        <f t="shared" si="10"/>
        <v>0</v>
      </c>
    </row>
    <row r="260" spans="1:158" ht="10.5" customHeight="1" x14ac:dyDescent="0.2">
      <c r="A260" s="16">
        <v>41</v>
      </c>
      <c r="B260" s="16" t="s">
        <v>2458</v>
      </c>
      <c r="C260" s="16" t="s">
        <v>2457</v>
      </c>
      <c r="D260" s="16">
        <v>7898</v>
      </c>
      <c r="E260" s="16" t="s">
        <v>6656</v>
      </c>
      <c r="F260" s="18" t="s">
        <v>2457</v>
      </c>
      <c r="G260" s="18" t="s">
        <v>106</v>
      </c>
      <c r="H260" s="15" t="s">
        <v>5127</v>
      </c>
      <c r="I260" s="18">
        <v>8</v>
      </c>
      <c r="J260" s="18">
        <v>4</v>
      </c>
      <c r="K260" s="18">
        <v>4</v>
      </c>
      <c r="L260" s="18">
        <v>0</v>
      </c>
      <c r="M260" s="18" t="s">
        <v>5183</v>
      </c>
      <c r="N260" s="18" t="s">
        <v>6067</v>
      </c>
      <c r="O260" s="18">
        <v>46207</v>
      </c>
      <c r="T260" s="18" t="s">
        <v>111</v>
      </c>
      <c r="U260" s="18" t="s">
        <v>5123</v>
      </c>
      <c r="V260" s="18" t="s">
        <v>113</v>
      </c>
      <c r="W260" s="18" t="s">
        <v>5211</v>
      </c>
      <c r="Y260" s="18" t="s">
        <v>5407</v>
      </c>
      <c r="Z260" s="18" t="s">
        <v>113</v>
      </c>
      <c r="AA260" s="18" t="s">
        <v>5163</v>
      </c>
      <c r="AB260" s="18" t="s">
        <v>5213</v>
      </c>
      <c r="AC260" s="18" t="s">
        <v>111</v>
      </c>
      <c r="AD260" s="18" t="s">
        <v>5127</v>
      </c>
      <c r="AE260" s="18" t="s">
        <v>111</v>
      </c>
      <c r="AF260" s="18" t="s">
        <v>111</v>
      </c>
      <c r="AG260" s="18" t="s">
        <v>5127</v>
      </c>
      <c r="AH260" s="18" t="s">
        <v>111</v>
      </c>
      <c r="AI260" s="18">
        <v>1</v>
      </c>
      <c r="AK260" s="18" t="s">
        <v>5164</v>
      </c>
      <c r="AN260" s="18">
        <v>100000</v>
      </c>
      <c r="AO260" s="18" t="s">
        <v>5186</v>
      </c>
      <c r="AP260" s="18" t="s">
        <v>6068</v>
      </c>
      <c r="AQ260" s="18" t="s">
        <v>5393</v>
      </c>
      <c r="AR260" s="18" t="s">
        <v>5168</v>
      </c>
      <c r="AT260" s="17">
        <f>(365*D260*0.7)/1000</f>
        <v>2017.9389999999999</v>
      </c>
      <c r="AU260" s="17">
        <f t="shared" si="12"/>
        <v>10000</v>
      </c>
      <c r="AV260" s="18">
        <v>10000</v>
      </c>
      <c r="AW260" s="18">
        <v>0</v>
      </c>
      <c r="AY260" s="18" t="s">
        <v>6069</v>
      </c>
      <c r="AZ260" s="18">
        <v>10</v>
      </c>
      <c r="BG260" s="18" t="s">
        <v>5663</v>
      </c>
      <c r="BQ260" s="18">
        <f>1500/1000</f>
        <v>1.5</v>
      </c>
      <c r="BR260" s="18">
        <f>2000/1000</f>
        <v>2</v>
      </c>
      <c r="BS260" s="18">
        <f>5000/1000</f>
        <v>5</v>
      </c>
      <c r="BT260" s="18">
        <f>10000/1000</f>
        <v>10</v>
      </c>
      <c r="BU260" s="18">
        <f>2000/1000</f>
        <v>2</v>
      </c>
      <c r="BV260" s="18">
        <f>SUM(BQ260:BU260)</f>
        <v>20.5</v>
      </c>
      <c r="BW260" s="15">
        <f t="shared" ref="BW260:BW323" si="13">SUM(BQ260:BU260)</f>
        <v>20.5</v>
      </c>
      <c r="BY260" s="18" t="s">
        <v>5134</v>
      </c>
      <c r="BZ260" s="18" t="s">
        <v>193</v>
      </c>
      <c r="CD260" s="18" t="s">
        <v>5127</v>
      </c>
      <c r="CE260" s="18" t="s">
        <v>5127</v>
      </c>
      <c r="CF260" s="18" t="s">
        <v>5529</v>
      </c>
      <c r="CG260" s="18" t="s">
        <v>6070</v>
      </c>
      <c r="CH260" s="18" t="s">
        <v>5241</v>
      </c>
      <c r="CI260" s="18" t="s">
        <v>5138</v>
      </c>
      <c r="CJ260" s="18" t="s">
        <v>5139</v>
      </c>
      <c r="CK260" s="18" t="s">
        <v>5256</v>
      </c>
      <c r="CL260" s="18">
        <v>1</v>
      </c>
      <c r="CM260" s="18">
        <v>0</v>
      </c>
      <c r="CN260" s="18">
        <v>0</v>
      </c>
      <c r="CO260" s="18">
        <v>1</v>
      </c>
      <c r="CP260" s="18">
        <v>0</v>
      </c>
      <c r="CQ260" s="18">
        <v>0</v>
      </c>
      <c r="CR260" s="18">
        <v>0</v>
      </c>
      <c r="CS260" s="18">
        <v>5</v>
      </c>
      <c r="CT260" s="18">
        <v>0</v>
      </c>
      <c r="CU260" s="18">
        <v>0</v>
      </c>
      <c r="CV260" s="18">
        <v>1</v>
      </c>
      <c r="CX260" s="18">
        <v>1</v>
      </c>
      <c r="CY260" s="18">
        <v>1</v>
      </c>
      <c r="CZ260" s="18">
        <v>1</v>
      </c>
      <c r="DA260" s="18">
        <v>1</v>
      </c>
      <c r="DB260" s="18">
        <v>1</v>
      </c>
      <c r="DC260" s="18">
        <v>1</v>
      </c>
      <c r="DD260" s="18">
        <v>1</v>
      </c>
      <c r="DE260" s="18">
        <v>1</v>
      </c>
      <c r="DF260" s="18" t="s">
        <v>5141</v>
      </c>
      <c r="DG260" s="18">
        <v>1</v>
      </c>
      <c r="DH260" s="18">
        <v>3</v>
      </c>
      <c r="DI260" s="18">
        <v>2</v>
      </c>
      <c r="DK260" s="18">
        <v>0</v>
      </c>
      <c r="DL260" s="18">
        <v>1</v>
      </c>
      <c r="DM260" s="18" t="s">
        <v>5127</v>
      </c>
      <c r="DN260" s="18" t="s">
        <v>5172</v>
      </c>
      <c r="DO260" s="18" t="s">
        <v>5591</v>
      </c>
      <c r="DP260" s="18" t="s">
        <v>106</v>
      </c>
      <c r="DQ260" s="18" t="s">
        <v>5221</v>
      </c>
      <c r="DS260" s="18">
        <v>0</v>
      </c>
      <c r="DT260" s="18">
        <v>0</v>
      </c>
      <c r="DU260" s="18">
        <v>1</v>
      </c>
      <c r="DV260" s="18" t="s">
        <v>5397</v>
      </c>
      <c r="DX260" s="18" t="s">
        <v>5201</v>
      </c>
      <c r="DY260" s="18" t="s">
        <v>106</v>
      </c>
      <c r="DZ260" s="18" t="s">
        <v>106</v>
      </c>
      <c r="EA260" s="18" t="s">
        <v>6032</v>
      </c>
      <c r="EB260" s="18">
        <v>50000</v>
      </c>
      <c r="EC260" s="18" t="s">
        <v>106</v>
      </c>
      <c r="ED260" s="18" t="s">
        <v>5176</v>
      </c>
      <c r="EE260" s="18" t="s">
        <v>113</v>
      </c>
      <c r="EF260" s="18" t="s">
        <v>113</v>
      </c>
      <c r="EG260" s="18" t="s">
        <v>5148</v>
      </c>
      <c r="EH260" s="18" t="s">
        <v>5203</v>
      </c>
      <c r="EI260" s="18" t="s">
        <v>5204</v>
      </c>
      <c r="EJ260" s="18" t="s">
        <v>6071</v>
      </c>
      <c r="EK260" s="18" t="s">
        <v>5878</v>
      </c>
      <c r="EL260" s="18" t="s">
        <v>4243</v>
      </c>
      <c r="EM260" s="18" t="s">
        <v>5227</v>
      </c>
      <c r="EN260" s="18" t="s">
        <v>113</v>
      </c>
      <c r="EO260" s="18" t="s">
        <v>113</v>
      </c>
      <c r="EP260" s="18" t="s">
        <v>106</v>
      </c>
      <c r="EQ260" s="18" t="s">
        <v>106</v>
      </c>
      <c r="ER260" s="18" t="s">
        <v>5155</v>
      </c>
      <c r="ES260" s="18" t="s">
        <v>5447</v>
      </c>
      <c r="ET260" s="18" t="s">
        <v>5154</v>
      </c>
      <c r="EU260" s="18" t="s">
        <v>5155</v>
      </c>
      <c r="EV260" s="18" t="s">
        <v>6072</v>
      </c>
      <c r="EW260" s="18" t="s">
        <v>6073</v>
      </c>
      <c r="EX260" s="18" t="s">
        <v>5158</v>
      </c>
      <c r="EY260" s="18" t="s">
        <v>5292</v>
      </c>
      <c r="EZ260" s="18" t="s">
        <v>5160</v>
      </c>
      <c r="FA260" s="18" t="s">
        <v>144</v>
      </c>
      <c r="FB260" s="18" t="s">
        <v>5161</v>
      </c>
    </row>
    <row r="261" spans="1:158" ht="10.5" customHeight="1" x14ac:dyDescent="0.2">
      <c r="A261" s="16">
        <v>41</v>
      </c>
      <c r="B261" s="16" t="s">
        <v>2468</v>
      </c>
      <c r="C261" s="16" t="s">
        <v>2467</v>
      </c>
      <c r="D261" s="16">
        <v>6795</v>
      </c>
      <c r="E261" s="16" t="s">
        <v>6656</v>
      </c>
      <c r="F261" s="18" t="s">
        <v>2467</v>
      </c>
      <c r="G261" s="18" t="s">
        <v>106</v>
      </c>
      <c r="H261" s="15" t="s">
        <v>5127</v>
      </c>
      <c r="I261" s="18">
        <v>7</v>
      </c>
      <c r="J261" s="18">
        <v>3</v>
      </c>
      <c r="K261" s="18">
        <v>4</v>
      </c>
      <c r="M261" s="18" t="s">
        <v>5183</v>
      </c>
      <c r="N261" s="18" t="s">
        <v>705</v>
      </c>
      <c r="T261" s="18" t="s">
        <v>111</v>
      </c>
      <c r="U261" s="18" t="s">
        <v>5185</v>
      </c>
      <c r="V261" s="18" t="s">
        <v>106</v>
      </c>
      <c r="W261" s="18" t="s">
        <v>5124</v>
      </c>
      <c r="Y261" s="18" t="s">
        <v>5162</v>
      </c>
      <c r="Z261" s="18" t="s">
        <v>106</v>
      </c>
      <c r="AA261" s="18" t="s">
        <v>5163</v>
      </c>
      <c r="AB261" s="18" t="s">
        <v>179</v>
      </c>
      <c r="AC261" s="18" t="s">
        <v>111</v>
      </c>
      <c r="AD261" s="18" t="s">
        <v>5127</v>
      </c>
      <c r="AE261" s="18" t="s">
        <v>5127</v>
      </c>
      <c r="AF261" s="18" t="s">
        <v>111</v>
      </c>
      <c r="AG261" s="18" t="s">
        <v>5127</v>
      </c>
      <c r="AH261" s="18" t="s">
        <v>111</v>
      </c>
      <c r="AI261" s="18">
        <v>1</v>
      </c>
      <c r="AK261" s="18" t="s">
        <v>5164</v>
      </c>
      <c r="AN261" s="18">
        <v>2000</v>
      </c>
      <c r="AO261" s="18" t="s">
        <v>5391</v>
      </c>
      <c r="AP261" s="18" t="s">
        <v>6074</v>
      </c>
      <c r="AQ261" s="18" t="s">
        <v>5442</v>
      </c>
      <c r="AR261" s="18" t="s">
        <v>5132</v>
      </c>
      <c r="AT261" s="17">
        <f>(365*D261*0.7)/1000</f>
        <v>1736.1224999999999</v>
      </c>
      <c r="AU261" s="17">
        <f t="shared" si="12"/>
        <v>1050</v>
      </c>
      <c r="AV261" s="18">
        <v>50</v>
      </c>
      <c r="AW261" s="18">
        <v>1000</v>
      </c>
      <c r="AY261" s="18" t="s">
        <v>5334</v>
      </c>
      <c r="BG261" s="18" t="s">
        <v>5169</v>
      </c>
      <c r="BQ261" s="18">
        <v>200</v>
      </c>
      <c r="BR261" s="18">
        <v>200</v>
      </c>
      <c r="BS261" s="18">
        <v>200</v>
      </c>
      <c r="BT261" s="18">
        <v>200</v>
      </c>
      <c r="BU261" s="18">
        <v>200</v>
      </c>
      <c r="BV261" s="18">
        <v>200</v>
      </c>
      <c r="BW261" s="15">
        <f t="shared" si="13"/>
        <v>1000</v>
      </c>
      <c r="BY261" s="18" t="s">
        <v>5134</v>
      </c>
      <c r="BZ261" s="18" t="s">
        <v>5312</v>
      </c>
      <c r="CD261" s="18" t="s">
        <v>5127</v>
      </c>
      <c r="CE261" s="18" t="s">
        <v>111</v>
      </c>
      <c r="CF261" s="18" t="s">
        <v>5135</v>
      </c>
      <c r="CG261" s="18" t="s">
        <v>5420</v>
      </c>
      <c r="CH261" s="18" t="s">
        <v>5241</v>
      </c>
      <c r="CI261" s="18" t="s">
        <v>5138</v>
      </c>
      <c r="CJ261" s="18" t="s">
        <v>5139</v>
      </c>
      <c r="CK261" s="18" t="s">
        <v>6075</v>
      </c>
      <c r="CL261" s="18">
        <v>2</v>
      </c>
      <c r="CM261" s="18">
        <v>0</v>
      </c>
      <c r="CN261" s="18">
        <v>0</v>
      </c>
      <c r="CO261" s="18">
        <v>1</v>
      </c>
      <c r="CP261" s="18">
        <v>1</v>
      </c>
      <c r="CQ261" s="18">
        <v>1</v>
      </c>
      <c r="CR261" s="18">
        <v>0</v>
      </c>
      <c r="CS261" s="18">
        <v>3</v>
      </c>
      <c r="CT261" s="18">
        <v>1</v>
      </c>
      <c r="CU261" s="18">
        <v>0</v>
      </c>
      <c r="CV261" s="18">
        <v>0</v>
      </c>
      <c r="CX261" s="18">
        <v>1</v>
      </c>
      <c r="CY261" s="18">
        <v>1</v>
      </c>
      <c r="CZ261" s="18">
        <v>0</v>
      </c>
      <c r="DA261" s="18">
        <v>1</v>
      </c>
      <c r="DB261" s="18">
        <v>1</v>
      </c>
      <c r="DC261" s="18">
        <v>0</v>
      </c>
      <c r="DD261" s="18">
        <v>0</v>
      </c>
      <c r="DE261" s="18">
        <v>0</v>
      </c>
      <c r="DF261" s="18">
        <v>0</v>
      </c>
      <c r="DG261" s="18">
        <v>1</v>
      </c>
      <c r="DH261" s="18">
        <v>0</v>
      </c>
      <c r="DI261" s="18">
        <v>1</v>
      </c>
      <c r="DK261" s="18">
        <v>0</v>
      </c>
      <c r="DL261" s="18">
        <v>0</v>
      </c>
      <c r="DM261" s="18" t="s">
        <v>5127</v>
      </c>
      <c r="DN261" s="18" t="s">
        <v>5172</v>
      </c>
      <c r="DO261" s="18" t="s">
        <v>5143</v>
      </c>
      <c r="DP261" s="18" t="s">
        <v>113</v>
      </c>
      <c r="DQ261" s="18" t="s">
        <v>5132</v>
      </c>
      <c r="DS261" s="18">
        <v>0</v>
      </c>
      <c r="DT261" s="18">
        <v>0</v>
      </c>
      <c r="DU261" s="18">
        <v>1</v>
      </c>
      <c r="DV261" s="18" t="s">
        <v>5397</v>
      </c>
      <c r="DX261" s="18" t="s">
        <v>5222</v>
      </c>
      <c r="DY261" s="18" t="s">
        <v>106</v>
      </c>
      <c r="DZ261" s="18" t="s">
        <v>113</v>
      </c>
      <c r="EA261" s="18" t="s">
        <v>5285</v>
      </c>
      <c r="EB261" s="18">
        <v>2000</v>
      </c>
      <c r="EC261" s="18" t="s">
        <v>113</v>
      </c>
      <c r="ED261" s="18" t="s">
        <v>5147</v>
      </c>
      <c r="EE261" s="18" t="s">
        <v>106</v>
      </c>
      <c r="EF261" s="18" t="s">
        <v>113</v>
      </c>
      <c r="EG261" s="18" t="s">
        <v>5148</v>
      </c>
      <c r="EH261" s="18" t="s">
        <v>5203</v>
      </c>
      <c r="EI261" s="18" t="s">
        <v>5204</v>
      </c>
      <c r="EJ261" s="18" t="s">
        <v>5343</v>
      </c>
      <c r="EK261" s="18" t="s">
        <v>113</v>
      </c>
      <c r="EL261" s="18" t="s">
        <v>4243</v>
      </c>
      <c r="EM261" s="18" t="s">
        <v>5227</v>
      </c>
      <c r="EN261" s="18" t="s">
        <v>113</v>
      </c>
      <c r="EO261" s="18" t="s">
        <v>113</v>
      </c>
      <c r="EP261" s="18" t="s">
        <v>113</v>
      </c>
      <c r="EQ261" s="18" t="s">
        <v>113</v>
      </c>
      <c r="ER261" s="18" t="s">
        <v>5289</v>
      </c>
      <c r="ES261" s="18" t="s">
        <v>5153</v>
      </c>
      <c r="ET261" s="18" t="s">
        <v>5154</v>
      </c>
      <c r="EU261" s="18" t="s">
        <v>5155</v>
      </c>
      <c r="EV261" s="18" t="s">
        <v>5469</v>
      </c>
      <c r="EW261" s="18" t="s">
        <v>6076</v>
      </c>
      <c r="EX261" s="18" t="s">
        <v>5158</v>
      </c>
      <c r="EY261" s="18" t="s">
        <v>5248</v>
      </c>
      <c r="EZ261" s="18" t="s">
        <v>5182</v>
      </c>
      <c r="FA261" s="18" t="s">
        <v>144</v>
      </c>
      <c r="FB261" s="18" t="s">
        <v>5161</v>
      </c>
    </row>
    <row r="262" spans="1:158" ht="10.5" customHeight="1" x14ac:dyDescent="0.2">
      <c r="A262" s="16">
        <v>41</v>
      </c>
      <c r="B262" s="16" t="s">
        <v>2468</v>
      </c>
      <c r="C262" s="16" t="s">
        <v>2467</v>
      </c>
      <c r="D262" s="16">
        <v>6795</v>
      </c>
      <c r="E262" s="16" t="s">
        <v>6656</v>
      </c>
      <c r="F262" s="18" t="s">
        <v>2467</v>
      </c>
      <c r="G262" s="18" t="s">
        <v>106</v>
      </c>
      <c r="H262" s="15" t="s">
        <v>5127</v>
      </c>
      <c r="I262" s="18">
        <v>14</v>
      </c>
      <c r="J262" s="18">
        <v>10</v>
      </c>
      <c r="K262" s="18">
        <v>4</v>
      </c>
      <c r="L262" s="18">
        <v>0</v>
      </c>
      <c r="M262" s="18" t="s">
        <v>5183</v>
      </c>
      <c r="N262" s="18" t="s">
        <v>6077</v>
      </c>
      <c r="O262" s="18">
        <v>43192</v>
      </c>
      <c r="T262" s="18" t="s">
        <v>111</v>
      </c>
      <c r="U262" s="18" t="s">
        <v>5123</v>
      </c>
      <c r="V262" s="18" t="s">
        <v>106</v>
      </c>
      <c r="W262" s="18" t="s">
        <v>113</v>
      </c>
      <c r="Y262" s="18" t="s">
        <v>5232</v>
      </c>
      <c r="Z262" s="18" t="s">
        <v>106</v>
      </c>
      <c r="AA262" s="18" t="s">
        <v>5267</v>
      </c>
      <c r="AB262" s="18" t="s">
        <v>179</v>
      </c>
      <c r="AC262" s="18" t="s">
        <v>5127</v>
      </c>
      <c r="AD262" s="18" t="s">
        <v>5127</v>
      </c>
      <c r="AE262" s="18" t="s">
        <v>5127</v>
      </c>
      <c r="AF262" s="18" t="s">
        <v>5127</v>
      </c>
      <c r="AG262" s="18" t="s">
        <v>5127</v>
      </c>
      <c r="AH262" s="18" t="s">
        <v>5127</v>
      </c>
      <c r="AI262" s="18">
        <v>1</v>
      </c>
      <c r="AK262" s="18" t="s">
        <v>5164</v>
      </c>
      <c r="AN262" s="18">
        <v>300</v>
      </c>
      <c r="AO262" s="18" t="s">
        <v>5129</v>
      </c>
      <c r="AP262" s="18" t="s">
        <v>6078</v>
      </c>
      <c r="AQ262" s="18" t="s">
        <v>5252</v>
      </c>
      <c r="AR262" s="18" t="s">
        <v>5168</v>
      </c>
      <c r="AT262" s="17">
        <f>(365*D262*0.7)/1000</f>
        <v>1736.1224999999999</v>
      </c>
      <c r="AU262" s="17">
        <f t="shared" si="12"/>
        <v>30</v>
      </c>
      <c r="AV262" s="18">
        <v>30</v>
      </c>
      <c r="AW262" s="18">
        <v>0</v>
      </c>
      <c r="AY262" s="18" t="s">
        <v>6079</v>
      </c>
      <c r="AZ262" s="18">
        <v>1</v>
      </c>
      <c r="BA262" s="18">
        <f>10</f>
        <v>10</v>
      </c>
      <c r="BB262" s="18">
        <v>1</v>
      </c>
      <c r="BD262" s="18">
        <v>1</v>
      </c>
      <c r="BE262" s="18">
        <v>2</v>
      </c>
      <c r="BG262" s="18" t="s">
        <v>5190</v>
      </c>
      <c r="BH262" s="18">
        <v>5</v>
      </c>
      <c r="BI262" s="18">
        <v>2</v>
      </c>
      <c r="BJ262" s="18">
        <v>2</v>
      </c>
      <c r="BQ262" s="18">
        <v>120</v>
      </c>
      <c r="BR262" s="18">
        <v>85</v>
      </c>
      <c r="BS262" s="18">
        <v>25</v>
      </c>
      <c r="BT262" s="18">
        <v>20</v>
      </c>
      <c r="BU262" s="18">
        <v>20</v>
      </c>
      <c r="BV262" s="18">
        <v>270</v>
      </c>
      <c r="BW262" s="15">
        <f t="shared" si="13"/>
        <v>270</v>
      </c>
      <c r="BY262" s="18" t="s">
        <v>6080</v>
      </c>
      <c r="BZ262" s="18" t="s">
        <v>193</v>
      </c>
      <c r="CD262" s="18" t="s">
        <v>5127</v>
      </c>
      <c r="CE262" s="18" t="s">
        <v>5127</v>
      </c>
      <c r="CF262" s="18" t="s">
        <v>5135</v>
      </c>
      <c r="CG262" s="18" t="s">
        <v>5804</v>
      </c>
      <c r="CH262" s="18" t="s">
        <v>5564</v>
      </c>
      <c r="CI262" s="18" t="s">
        <v>111</v>
      </c>
      <c r="CJ262" s="18" t="s">
        <v>5196</v>
      </c>
      <c r="CK262" s="18" t="s">
        <v>5171</v>
      </c>
      <c r="CL262" s="18">
        <v>1</v>
      </c>
      <c r="CM262" s="18">
        <v>0</v>
      </c>
      <c r="CN262" s="18">
        <v>0</v>
      </c>
      <c r="CO262" s="18">
        <v>0</v>
      </c>
      <c r="CP262" s="18">
        <v>1</v>
      </c>
      <c r="CQ262" s="18">
        <v>0</v>
      </c>
      <c r="CR262" s="18">
        <v>0</v>
      </c>
      <c r="CS262" s="18" t="s">
        <v>5141</v>
      </c>
      <c r="CT262" s="18">
        <v>0</v>
      </c>
      <c r="CU262" s="18">
        <v>0</v>
      </c>
      <c r="CV262" s="18">
        <v>1</v>
      </c>
      <c r="CX262" s="18">
        <v>0</v>
      </c>
      <c r="CY262" s="18">
        <v>1</v>
      </c>
      <c r="CZ262" s="18">
        <v>1</v>
      </c>
      <c r="DA262" s="18">
        <v>1</v>
      </c>
      <c r="DB262" s="18">
        <v>2</v>
      </c>
      <c r="DC262" s="18">
        <v>1</v>
      </c>
      <c r="DD262" s="18">
        <v>1</v>
      </c>
      <c r="DE262" s="18" t="s">
        <v>5141</v>
      </c>
      <c r="DF262" s="18" t="s">
        <v>5141</v>
      </c>
      <c r="DG262" s="18">
        <v>1</v>
      </c>
      <c r="DH262" s="18">
        <v>1</v>
      </c>
      <c r="DI262" s="18">
        <v>1</v>
      </c>
      <c r="DK262" s="18">
        <v>0</v>
      </c>
      <c r="DL262" s="18">
        <v>1</v>
      </c>
      <c r="DM262" s="18" t="s">
        <v>5127</v>
      </c>
      <c r="DN262" s="18" t="s">
        <v>5172</v>
      </c>
      <c r="DO262" s="18" t="s">
        <v>5259</v>
      </c>
      <c r="DP262" s="18" t="s">
        <v>113</v>
      </c>
      <c r="DQ262" s="18" t="s">
        <v>179</v>
      </c>
      <c r="DS262" s="18">
        <v>0</v>
      </c>
      <c r="DT262" s="18">
        <v>0</v>
      </c>
      <c r="DU262" s="18">
        <v>2</v>
      </c>
      <c r="DV262" s="18" t="s">
        <v>5301</v>
      </c>
      <c r="DX262" s="18" t="s">
        <v>5145</v>
      </c>
      <c r="DY262" s="18" t="s">
        <v>106</v>
      </c>
      <c r="DZ262" s="18" t="s">
        <v>113</v>
      </c>
      <c r="EA262" s="18" t="s">
        <v>5261</v>
      </c>
      <c r="EB262" s="18">
        <v>260</v>
      </c>
      <c r="EC262" s="18" t="s">
        <v>106</v>
      </c>
      <c r="ED262" s="18" t="s">
        <v>5176</v>
      </c>
      <c r="EE262" s="18" t="s">
        <v>113</v>
      </c>
      <c r="EF262" s="18" t="s">
        <v>113</v>
      </c>
      <c r="EG262" s="18" t="s">
        <v>5148</v>
      </c>
      <c r="EH262" s="18" t="s">
        <v>5203</v>
      </c>
      <c r="EI262" s="18" t="s">
        <v>5204</v>
      </c>
      <c r="EJ262" s="18" t="s">
        <v>5245</v>
      </c>
      <c r="EK262" s="18" t="s">
        <v>113</v>
      </c>
      <c r="EM262" s="18" t="s">
        <v>5227</v>
      </c>
      <c r="EN262" s="18" t="s">
        <v>113</v>
      </c>
      <c r="EO262" s="18" t="s">
        <v>113</v>
      </c>
      <c r="EP262" s="18" t="s">
        <v>113</v>
      </c>
      <c r="EQ262" s="18" t="s">
        <v>113</v>
      </c>
      <c r="ER262" s="18" t="s">
        <v>5206</v>
      </c>
      <c r="ES262" s="18" t="s">
        <v>5153</v>
      </c>
      <c r="ET262" s="18" t="s">
        <v>5154</v>
      </c>
      <c r="EU262" s="18" t="s">
        <v>5155</v>
      </c>
      <c r="EV262" s="18" t="s">
        <v>5629</v>
      </c>
      <c r="EW262" s="18" t="s">
        <v>5291</v>
      </c>
      <c r="EX262" s="18" t="s">
        <v>5158</v>
      </c>
      <c r="EY262" s="18" t="s">
        <v>5800</v>
      </c>
      <c r="EZ262" s="18" t="s">
        <v>5182</v>
      </c>
      <c r="FA262" s="18" t="s">
        <v>144</v>
      </c>
      <c r="FB262" s="18" t="s">
        <v>5161</v>
      </c>
    </row>
    <row r="263" spans="1:158" ht="10.5" customHeight="1" x14ac:dyDescent="0.2">
      <c r="A263" s="16">
        <v>41</v>
      </c>
      <c r="B263" s="16" t="s">
        <v>1422</v>
      </c>
      <c r="C263" s="16" t="s">
        <v>1423</v>
      </c>
      <c r="D263" s="16">
        <v>4657</v>
      </c>
      <c r="E263" s="16" t="s">
        <v>6656</v>
      </c>
      <c r="H263" s="15" t="s">
        <v>6661</v>
      </c>
      <c r="AT263" s="17">
        <f>(365*D263*0.7)/1000</f>
        <v>1189.8634999999999</v>
      </c>
      <c r="AU263" s="17">
        <f t="shared" si="12"/>
        <v>0</v>
      </c>
      <c r="BW263" s="15">
        <f t="shared" si="13"/>
        <v>0</v>
      </c>
    </row>
    <row r="264" spans="1:158" ht="10.5" customHeight="1" x14ac:dyDescent="0.2">
      <c r="A264" s="16">
        <v>41</v>
      </c>
      <c r="B264" s="16" t="s">
        <v>2485</v>
      </c>
      <c r="C264" s="16" t="s">
        <v>2484</v>
      </c>
      <c r="D264" s="16">
        <v>45857</v>
      </c>
      <c r="E264" s="16" t="s">
        <v>6658</v>
      </c>
      <c r="F264" s="18" t="s">
        <v>2484</v>
      </c>
      <c r="G264" s="18" t="s">
        <v>106</v>
      </c>
      <c r="H264" s="15" t="s">
        <v>5127</v>
      </c>
      <c r="I264" s="18">
        <v>17</v>
      </c>
      <c r="J264" s="18">
        <v>10</v>
      </c>
      <c r="K264" s="18">
        <v>7</v>
      </c>
      <c r="M264" s="18" t="s">
        <v>5183</v>
      </c>
      <c r="N264" s="18" t="s">
        <v>6081</v>
      </c>
      <c r="T264" s="18" t="s">
        <v>111</v>
      </c>
      <c r="U264" s="18" t="s">
        <v>5123</v>
      </c>
      <c r="V264" s="18" t="s">
        <v>106</v>
      </c>
      <c r="W264" s="18" t="s">
        <v>5124</v>
      </c>
      <c r="Y264" s="18" t="s">
        <v>5162</v>
      </c>
      <c r="Z264" s="18" t="s">
        <v>106</v>
      </c>
      <c r="AA264" s="18" t="s">
        <v>5163</v>
      </c>
      <c r="AB264" s="18" t="s">
        <v>179</v>
      </c>
      <c r="AC264" s="18" t="s">
        <v>5127</v>
      </c>
      <c r="AD264" s="18" t="s">
        <v>5127</v>
      </c>
      <c r="AE264" s="18" t="s">
        <v>5127</v>
      </c>
      <c r="AF264" s="18" t="s">
        <v>5127</v>
      </c>
      <c r="AG264" s="18" t="s">
        <v>5127</v>
      </c>
      <c r="AH264" s="18" t="s">
        <v>5127</v>
      </c>
      <c r="AI264" s="18">
        <v>1</v>
      </c>
      <c r="AK264" s="18" t="s">
        <v>5164</v>
      </c>
      <c r="AN264" s="18">
        <v>1224</v>
      </c>
      <c r="AO264" s="18" t="s">
        <v>5186</v>
      </c>
      <c r="AP264" s="18" t="s">
        <v>6082</v>
      </c>
      <c r="AQ264" s="18" t="s">
        <v>5624</v>
      </c>
      <c r="AR264" s="18" t="s">
        <v>5168</v>
      </c>
      <c r="AT264" s="17">
        <f>(365*D264*0.7)/1000</f>
        <v>11716.4635</v>
      </c>
      <c r="AU264" s="17">
        <f t="shared" si="12"/>
        <v>590</v>
      </c>
      <c r="AV264" s="18">
        <v>590</v>
      </c>
      <c r="AW264" s="18">
        <v>0</v>
      </c>
      <c r="AY264" s="18" t="s">
        <v>5747</v>
      </c>
      <c r="BG264" s="18" t="s">
        <v>5281</v>
      </c>
      <c r="BQ264" s="18">
        <v>254</v>
      </c>
      <c r="BR264" s="18">
        <v>208</v>
      </c>
      <c r="BS264" s="18">
        <v>9</v>
      </c>
      <c r="BT264" s="18">
        <v>107</v>
      </c>
      <c r="BU264" s="18">
        <v>56</v>
      </c>
      <c r="BV264" s="18">
        <v>634</v>
      </c>
      <c r="BW264" s="15">
        <f t="shared" si="13"/>
        <v>634</v>
      </c>
      <c r="BY264" s="18" t="s">
        <v>6083</v>
      </c>
      <c r="BZ264" s="18" t="s">
        <v>6084</v>
      </c>
      <c r="CD264" s="18" t="s">
        <v>5127</v>
      </c>
      <c r="CE264" s="18" t="s">
        <v>111</v>
      </c>
      <c r="CF264" s="18" t="s">
        <v>5135</v>
      </c>
      <c r="CG264" s="18" t="s">
        <v>6085</v>
      </c>
      <c r="CH264" s="18" t="s">
        <v>5551</v>
      </c>
      <c r="CI264" s="18" t="s">
        <v>5138</v>
      </c>
      <c r="CJ264" s="18" t="s">
        <v>5196</v>
      </c>
      <c r="CK264" s="18" t="s">
        <v>5256</v>
      </c>
      <c r="CL264" s="18">
        <v>3</v>
      </c>
      <c r="CM264" s="18">
        <v>0</v>
      </c>
      <c r="CN264" s="18">
        <v>0</v>
      </c>
      <c r="CO264" s="18">
        <v>2</v>
      </c>
      <c r="CP264" s="18">
        <v>1</v>
      </c>
      <c r="CQ264" s="18">
        <v>1</v>
      </c>
      <c r="CR264" s="18">
        <v>0</v>
      </c>
      <c r="CS264" s="18" t="s">
        <v>5141</v>
      </c>
      <c r="CT264" s="18">
        <v>0</v>
      </c>
      <c r="CU264" s="18">
        <v>1</v>
      </c>
      <c r="CV264" s="18" t="s">
        <v>5141</v>
      </c>
      <c r="CX264" s="18">
        <v>0</v>
      </c>
      <c r="CY264" s="18">
        <v>0</v>
      </c>
      <c r="CZ264" s="18">
        <v>0</v>
      </c>
      <c r="DA264" s="18">
        <v>0</v>
      </c>
      <c r="DB264" s="18">
        <v>0</v>
      </c>
      <c r="DC264" s="18">
        <v>0</v>
      </c>
      <c r="DD264" s="18">
        <v>0</v>
      </c>
      <c r="DE264" s="18">
        <v>0</v>
      </c>
      <c r="DF264" s="18">
        <v>0</v>
      </c>
      <c r="DG264" s="18">
        <v>0</v>
      </c>
      <c r="DH264" s="18">
        <v>0</v>
      </c>
      <c r="DI264" s="18">
        <v>0</v>
      </c>
      <c r="DK264" s="18">
        <v>0</v>
      </c>
      <c r="DL264" s="18">
        <v>0</v>
      </c>
      <c r="DM264" s="18" t="s">
        <v>5127</v>
      </c>
      <c r="DN264" s="18" t="s">
        <v>5299</v>
      </c>
      <c r="DO264" s="18" t="s">
        <v>5242</v>
      </c>
      <c r="DP264" s="18" t="s">
        <v>113</v>
      </c>
      <c r="DS264" s="18">
        <v>0</v>
      </c>
      <c r="DT264" s="18">
        <v>1</v>
      </c>
      <c r="DU264" s="18">
        <v>2</v>
      </c>
      <c r="DV264" s="18" t="s">
        <v>5342</v>
      </c>
      <c r="DX264" s="18" t="s">
        <v>5201</v>
      </c>
      <c r="DY264" s="18" t="s">
        <v>106</v>
      </c>
      <c r="DZ264" s="18" t="s">
        <v>106</v>
      </c>
      <c r="EA264" s="18" t="s">
        <v>5175</v>
      </c>
      <c r="EB264" s="18">
        <v>634</v>
      </c>
      <c r="EC264" s="18" t="s">
        <v>106</v>
      </c>
      <c r="ED264" s="18" t="s">
        <v>5176</v>
      </c>
      <c r="EE264" s="18" t="s">
        <v>113</v>
      </c>
      <c r="EF264" s="18" t="s">
        <v>106</v>
      </c>
      <c r="EG264" s="18" t="s">
        <v>5326</v>
      </c>
      <c r="EH264" s="18" t="s">
        <v>5203</v>
      </c>
      <c r="EI264" s="18" t="s">
        <v>5204</v>
      </c>
      <c r="EJ264" s="18" t="s">
        <v>5287</v>
      </c>
      <c r="EK264" s="18" t="s">
        <v>113</v>
      </c>
      <c r="EN264" s="18" t="s">
        <v>113</v>
      </c>
      <c r="EO264" s="18" t="s">
        <v>113</v>
      </c>
      <c r="EP264" s="18" t="s">
        <v>113</v>
      </c>
      <c r="EQ264" s="18" t="s">
        <v>113</v>
      </c>
      <c r="ER264" s="18" t="s">
        <v>5206</v>
      </c>
      <c r="ES264" s="18" t="s">
        <v>5153</v>
      </c>
      <c r="ET264" s="18" t="s">
        <v>5154</v>
      </c>
      <c r="EU264" s="18" t="s">
        <v>5318</v>
      </c>
      <c r="EV264" s="18" t="s">
        <v>5608</v>
      </c>
      <c r="EW264" s="18" t="s">
        <v>6086</v>
      </c>
      <c r="EX264" s="18" t="s">
        <v>5158</v>
      </c>
      <c r="EY264" s="18" t="s">
        <v>5248</v>
      </c>
      <c r="EZ264" s="18" t="s">
        <v>5931</v>
      </c>
    </row>
    <row r="265" spans="1:158" ht="10.5" customHeight="1" x14ac:dyDescent="0.2">
      <c r="A265" s="16">
        <v>41</v>
      </c>
      <c r="B265" s="16" t="s">
        <v>2496</v>
      </c>
      <c r="C265" s="16" t="s">
        <v>2495</v>
      </c>
      <c r="D265" s="16">
        <v>5575</v>
      </c>
      <c r="E265" s="16" t="s">
        <v>6656</v>
      </c>
      <c r="H265" s="15" t="s">
        <v>6661</v>
      </c>
      <c r="AT265" s="17">
        <f>(365*D265*0.7)/1000</f>
        <v>1424.4124999999999</v>
      </c>
      <c r="AU265" s="17">
        <f t="shared" si="12"/>
        <v>0</v>
      </c>
      <c r="BW265" s="15">
        <f t="shared" si="13"/>
        <v>0</v>
      </c>
    </row>
    <row r="266" spans="1:158" ht="10.5" customHeight="1" x14ac:dyDescent="0.2">
      <c r="A266" s="16">
        <v>41</v>
      </c>
      <c r="B266" s="16" t="s">
        <v>2506</v>
      </c>
      <c r="C266" s="16" t="s">
        <v>2505</v>
      </c>
      <c r="D266" s="16">
        <v>33103</v>
      </c>
      <c r="E266" s="16" t="s">
        <v>6658</v>
      </c>
      <c r="F266" s="18" t="s">
        <v>2505</v>
      </c>
      <c r="G266" s="18" t="s">
        <v>106</v>
      </c>
      <c r="H266" s="15" t="s">
        <v>5127</v>
      </c>
      <c r="I266" s="18">
        <v>17</v>
      </c>
      <c r="J266" s="18">
        <v>10</v>
      </c>
      <c r="K266" s="18" t="s">
        <v>1024</v>
      </c>
      <c r="L266" s="18">
        <v>0</v>
      </c>
      <c r="M266" s="18" t="s">
        <v>5183</v>
      </c>
      <c r="N266" s="18">
        <v>347600</v>
      </c>
      <c r="O266" s="18">
        <v>46541</v>
      </c>
      <c r="T266" s="18" t="s">
        <v>111</v>
      </c>
      <c r="U266" s="18" t="s">
        <v>5123</v>
      </c>
      <c r="V266" s="18" t="s">
        <v>113</v>
      </c>
      <c r="W266" s="18" t="s">
        <v>5211</v>
      </c>
      <c r="Y266" s="18" t="s">
        <v>5212</v>
      </c>
      <c r="Z266" s="18" t="s">
        <v>106</v>
      </c>
      <c r="AA266" s="18" t="s">
        <v>5163</v>
      </c>
      <c r="AB266" s="18" t="s">
        <v>179</v>
      </c>
      <c r="AC266" s="18" t="s">
        <v>5127</v>
      </c>
      <c r="AD266" s="18" t="s">
        <v>111</v>
      </c>
      <c r="AE266" s="18" t="s">
        <v>111</v>
      </c>
      <c r="AF266" s="18" t="s">
        <v>111</v>
      </c>
      <c r="AG266" s="18" t="s">
        <v>5127</v>
      </c>
      <c r="AH266" s="18" t="s">
        <v>5127</v>
      </c>
      <c r="AI266" s="18">
        <v>2</v>
      </c>
      <c r="AK266" s="18" t="s">
        <v>5279</v>
      </c>
      <c r="AN266" s="18">
        <v>360</v>
      </c>
      <c r="AO266" s="18" t="s">
        <v>5186</v>
      </c>
      <c r="AP266" s="18" t="s">
        <v>6087</v>
      </c>
      <c r="AQ266" s="18" t="s">
        <v>6088</v>
      </c>
      <c r="AR266" s="18" t="s">
        <v>5168</v>
      </c>
      <c r="AT266" s="17">
        <f>(365*D266*0.7)/1000</f>
        <v>8457.8165000000008</v>
      </c>
      <c r="AU266" s="17">
        <f t="shared" si="12"/>
        <v>156</v>
      </c>
      <c r="AV266" s="18">
        <v>156</v>
      </c>
      <c r="AW266" s="18">
        <v>0</v>
      </c>
      <c r="AY266" s="18" t="s">
        <v>164</v>
      </c>
      <c r="AZ266" s="18">
        <v>0</v>
      </c>
      <c r="BA266" s="18">
        <v>0</v>
      </c>
      <c r="BB266" s="18">
        <v>0</v>
      </c>
      <c r="BD266" s="18">
        <v>0</v>
      </c>
      <c r="BE266" s="18">
        <v>0</v>
      </c>
      <c r="BG266" s="18" t="s">
        <v>5613</v>
      </c>
      <c r="BH266" s="18">
        <v>0</v>
      </c>
      <c r="BI266" s="18">
        <f>2000/1000</f>
        <v>2</v>
      </c>
      <c r="BJ266" s="18">
        <f>1850/1000</f>
        <v>1.85</v>
      </c>
      <c r="BQ266" s="18">
        <v>112</v>
      </c>
      <c r="BR266" s="18">
        <f>50708/1000</f>
        <v>50.707999999999998</v>
      </c>
      <c r="BS266" s="18">
        <f>21517/1000</f>
        <v>21.516999999999999</v>
      </c>
      <c r="BT266" s="18">
        <f>32346/1000</f>
        <v>32.345999999999997</v>
      </c>
      <c r="BU266" s="18">
        <v>0</v>
      </c>
      <c r="BV266" s="18">
        <f>216571/1000</f>
        <v>216.571</v>
      </c>
      <c r="BW266" s="15">
        <f t="shared" si="13"/>
        <v>216.571</v>
      </c>
      <c r="BY266" s="18" t="s">
        <v>5134</v>
      </c>
      <c r="BZ266" s="18" t="s">
        <v>5688</v>
      </c>
      <c r="CD266" s="18" t="s">
        <v>5127</v>
      </c>
      <c r="CE266" s="18" t="s">
        <v>111</v>
      </c>
      <c r="CF266" s="18" t="s">
        <v>5135</v>
      </c>
      <c r="CG266" s="18" t="s">
        <v>6089</v>
      </c>
      <c r="CH266" s="18" t="s">
        <v>5137</v>
      </c>
      <c r="CI266" s="18" t="s">
        <v>5195</v>
      </c>
      <c r="CJ266" s="18" t="s">
        <v>5196</v>
      </c>
      <c r="CK266" s="18" t="s">
        <v>5171</v>
      </c>
      <c r="CL266" s="18">
        <v>1</v>
      </c>
      <c r="CM266" s="18">
        <v>1</v>
      </c>
      <c r="CN266" s="18">
        <v>0</v>
      </c>
      <c r="CO266" s="18">
        <v>1</v>
      </c>
      <c r="CP266" s="18">
        <v>0</v>
      </c>
      <c r="CQ266" s="18">
        <v>1</v>
      </c>
      <c r="CR266" s="18">
        <v>0</v>
      </c>
      <c r="CS266" s="18" t="s">
        <v>5141</v>
      </c>
      <c r="CT266" s="18">
        <v>1</v>
      </c>
      <c r="CU266" s="18">
        <v>0</v>
      </c>
      <c r="CV266" s="18">
        <v>1</v>
      </c>
      <c r="CX266" s="18">
        <v>0</v>
      </c>
      <c r="CY266" s="18">
        <v>0</v>
      </c>
      <c r="CZ266" s="18">
        <v>0</v>
      </c>
      <c r="DA266" s="18">
        <v>1</v>
      </c>
      <c r="DB266" s="18">
        <v>0</v>
      </c>
      <c r="DC266" s="18">
        <v>1</v>
      </c>
      <c r="DD266" s="18">
        <v>1</v>
      </c>
      <c r="DE266" s="18">
        <v>0</v>
      </c>
      <c r="DF266" s="18" t="s">
        <v>5141</v>
      </c>
      <c r="DG266" s="18">
        <v>1</v>
      </c>
      <c r="DH266" s="18" t="s">
        <v>5141</v>
      </c>
      <c r="DI266" s="18">
        <v>1</v>
      </c>
      <c r="DK266" s="18">
        <v>0</v>
      </c>
      <c r="DL266" s="18">
        <v>1</v>
      </c>
      <c r="DM266" s="18" t="s">
        <v>5127</v>
      </c>
      <c r="DN266" s="18" t="s">
        <v>5258</v>
      </c>
      <c r="DO266" s="18" t="s">
        <v>5978</v>
      </c>
      <c r="DP266" s="18" t="s">
        <v>106</v>
      </c>
      <c r="DQ266" s="18" t="s">
        <v>5168</v>
      </c>
      <c r="DS266" s="18">
        <v>156</v>
      </c>
      <c r="DT266" s="18">
        <v>1</v>
      </c>
      <c r="DU266" s="18">
        <v>1</v>
      </c>
      <c r="DV266" s="18" t="s">
        <v>5666</v>
      </c>
      <c r="DX266" s="18" t="s">
        <v>5222</v>
      </c>
      <c r="DY266" s="18" t="s">
        <v>106</v>
      </c>
      <c r="DZ266" s="18" t="s">
        <v>113</v>
      </c>
      <c r="EA266" s="18" t="s">
        <v>5146</v>
      </c>
      <c r="EB266" s="18">
        <v>204</v>
      </c>
      <c r="EC266" s="18" t="s">
        <v>106</v>
      </c>
      <c r="ED266" s="18" t="s">
        <v>5176</v>
      </c>
      <c r="EE266" s="18" t="s">
        <v>113</v>
      </c>
      <c r="EF266" s="18" t="s">
        <v>113</v>
      </c>
      <c r="EG266" s="18" t="s">
        <v>5148</v>
      </c>
      <c r="EH266" s="18" t="s">
        <v>5203</v>
      </c>
      <c r="EI266" s="18" t="s">
        <v>5204</v>
      </c>
      <c r="EJ266" s="18" t="s">
        <v>5287</v>
      </c>
      <c r="EK266" s="18" t="s">
        <v>113</v>
      </c>
      <c r="EL266" s="18" t="s">
        <v>6090</v>
      </c>
      <c r="EM266" s="18" t="s">
        <v>6091</v>
      </c>
      <c r="EN266" s="18" t="s">
        <v>113</v>
      </c>
      <c r="EO266" s="18" t="s">
        <v>113</v>
      </c>
      <c r="EP266" s="18" t="s">
        <v>113</v>
      </c>
      <c r="EQ266" s="18" t="s">
        <v>106</v>
      </c>
      <c r="ER266" s="18" t="s">
        <v>5206</v>
      </c>
      <c r="ES266" s="18" t="s">
        <v>5153</v>
      </c>
      <c r="ET266" s="18" t="s">
        <v>5154</v>
      </c>
      <c r="EU266" s="18" t="s">
        <v>5155</v>
      </c>
      <c r="EV266" s="18" t="s">
        <v>5869</v>
      </c>
      <c r="EW266" s="18" t="s">
        <v>5614</v>
      </c>
      <c r="EX266" s="18" t="s">
        <v>5158</v>
      </c>
      <c r="EY266" s="18" t="s">
        <v>5248</v>
      </c>
      <c r="EZ266" s="18" t="s">
        <v>5160</v>
      </c>
      <c r="FA266" s="18" t="s">
        <v>144</v>
      </c>
    </row>
    <row r="267" spans="1:158" ht="10.5" customHeight="1" x14ac:dyDescent="0.2">
      <c r="A267" s="16">
        <v>41</v>
      </c>
      <c r="B267" s="16" t="s">
        <v>989</v>
      </c>
      <c r="C267" s="16" t="s">
        <v>990</v>
      </c>
      <c r="D267" s="16">
        <v>3751</v>
      </c>
      <c r="E267" s="16" t="s">
        <v>6656</v>
      </c>
      <c r="H267" s="15" t="s">
        <v>6661</v>
      </c>
      <c r="AT267" s="17">
        <f>(365*D267*0.7)/1000</f>
        <v>958.38049999999987</v>
      </c>
      <c r="AU267" s="17">
        <f t="shared" si="12"/>
        <v>0</v>
      </c>
      <c r="BW267" s="15">
        <f t="shared" si="13"/>
        <v>0</v>
      </c>
    </row>
    <row r="268" spans="1:158" ht="10.5" customHeight="1" x14ac:dyDescent="0.2">
      <c r="A268" s="16">
        <v>41</v>
      </c>
      <c r="B268" s="16" t="s">
        <v>2520</v>
      </c>
      <c r="C268" s="16" t="s">
        <v>2519</v>
      </c>
      <c r="D268" s="16">
        <v>3989</v>
      </c>
      <c r="E268" s="16" t="s">
        <v>6656</v>
      </c>
      <c r="F268" s="18" t="s">
        <v>2519</v>
      </c>
      <c r="G268" s="18" t="s">
        <v>106</v>
      </c>
      <c r="H268" s="15" t="s">
        <v>5127</v>
      </c>
      <c r="I268" s="18">
        <v>6</v>
      </c>
      <c r="J268" s="18">
        <v>3</v>
      </c>
      <c r="K268" s="18">
        <v>3</v>
      </c>
      <c r="L268" s="18">
        <v>0</v>
      </c>
      <c r="M268" s="18" t="s">
        <v>5183</v>
      </c>
      <c r="N268" s="18">
        <v>307850</v>
      </c>
      <c r="O268" s="18">
        <v>47410</v>
      </c>
      <c r="T268" s="18" t="s">
        <v>111</v>
      </c>
      <c r="U268" s="18" t="s">
        <v>5250</v>
      </c>
      <c r="V268" s="18" t="s">
        <v>106</v>
      </c>
      <c r="W268" s="18" t="s">
        <v>5211</v>
      </c>
      <c r="Y268" s="18" t="s">
        <v>5162</v>
      </c>
      <c r="Z268" s="18" t="s">
        <v>106</v>
      </c>
      <c r="AA268" s="18" t="s">
        <v>5163</v>
      </c>
      <c r="AB268" s="18" t="s">
        <v>179</v>
      </c>
      <c r="AC268" s="18" t="s">
        <v>5127</v>
      </c>
      <c r="AD268" s="18" t="s">
        <v>5127</v>
      </c>
      <c r="AE268" s="18" t="s">
        <v>111</v>
      </c>
      <c r="AF268" s="18" t="s">
        <v>111</v>
      </c>
      <c r="AG268" s="18" t="s">
        <v>5127</v>
      </c>
      <c r="AH268" s="18" t="s">
        <v>111</v>
      </c>
      <c r="AI268" s="18">
        <v>1</v>
      </c>
      <c r="AK268" s="18" t="s">
        <v>5164</v>
      </c>
      <c r="AN268" s="18" t="s">
        <v>6092</v>
      </c>
      <c r="AO268" s="18" t="s">
        <v>5391</v>
      </c>
      <c r="AP268" s="18" t="s">
        <v>6093</v>
      </c>
      <c r="AQ268" s="18" t="s">
        <v>5252</v>
      </c>
      <c r="AR268" s="18" t="s">
        <v>5168</v>
      </c>
      <c r="AT268" s="17">
        <f>(365*D268*0.7)/1000</f>
        <v>1019.1894999999998</v>
      </c>
      <c r="AU268" s="17">
        <f t="shared" si="12"/>
        <v>14.4</v>
      </c>
      <c r="AV268" s="18">
        <v>14.4</v>
      </c>
      <c r="AW268" s="18">
        <v>0</v>
      </c>
      <c r="AY268" s="18" t="s">
        <v>439</v>
      </c>
      <c r="AZ268" s="18">
        <v>0</v>
      </c>
      <c r="BA268" s="18">
        <v>0</v>
      </c>
      <c r="BB268" s="18">
        <v>0</v>
      </c>
      <c r="BD268" s="18">
        <v>0</v>
      </c>
      <c r="BE268" s="18">
        <v>250</v>
      </c>
      <c r="BG268" s="18" t="s">
        <v>5369</v>
      </c>
      <c r="BH268" s="18">
        <v>0</v>
      </c>
      <c r="BQ268" s="18" t="s">
        <v>6094</v>
      </c>
      <c r="BR268" s="18" t="s">
        <v>6095</v>
      </c>
      <c r="BS268" s="18" t="s">
        <v>6096</v>
      </c>
      <c r="BT268" s="18">
        <v>2.5</v>
      </c>
      <c r="BU268" s="18">
        <v>69</v>
      </c>
      <c r="BV268" s="18">
        <f>SUM(BQ268:BU268)</f>
        <v>71.5</v>
      </c>
      <c r="BW268" s="15">
        <f t="shared" si="13"/>
        <v>71.5</v>
      </c>
      <c r="BY268" s="18" t="s">
        <v>5134</v>
      </c>
      <c r="BZ268" s="18" t="s">
        <v>5312</v>
      </c>
      <c r="CD268" s="18" t="s">
        <v>5127</v>
      </c>
      <c r="CE268" s="18" t="s">
        <v>111</v>
      </c>
      <c r="CF268" s="18" t="s">
        <v>5135</v>
      </c>
      <c r="CG268" s="18" t="s">
        <v>6097</v>
      </c>
      <c r="CH268" s="18" t="s">
        <v>5241</v>
      </c>
      <c r="CI268" s="18" t="s">
        <v>5138</v>
      </c>
      <c r="CJ268" s="18" t="s">
        <v>5196</v>
      </c>
      <c r="CK268" s="18" t="s">
        <v>5197</v>
      </c>
      <c r="CL268" s="18">
        <v>1</v>
      </c>
      <c r="CM268" s="18">
        <v>0</v>
      </c>
      <c r="CN268" s="18">
        <v>0</v>
      </c>
      <c r="CO268" s="18">
        <v>1</v>
      </c>
      <c r="CP268" s="18">
        <v>1</v>
      </c>
      <c r="CQ268" s="18">
        <v>1</v>
      </c>
      <c r="CR268" s="18">
        <v>0</v>
      </c>
      <c r="CS268" s="18" t="s">
        <v>5141</v>
      </c>
      <c r="CT268" s="18">
        <v>0</v>
      </c>
      <c r="CU268" s="18">
        <v>0</v>
      </c>
      <c r="CV268" s="18">
        <v>0</v>
      </c>
      <c r="CX268" s="18">
        <v>0</v>
      </c>
      <c r="CY268" s="18">
        <v>0</v>
      </c>
      <c r="CZ268" s="18">
        <v>1</v>
      </c>
      <c r="DA268" s="18">
        <v>1</v>
      </c>
      <c r="DB268" s="18">
        <v>1</v>
      </c>
      <c r="DC268" s="18">
        <v>1</v>
      </c>
      <c r="DD268" s="18">
        <v>1</v>
      </c>
      <c r="DE268" s="18">
        <v>0</v>
      </c>
      <c r="DF268" s="18" t="s">
        <v>5141</v>
      </c>
      <c r="DG268" s="18">
        <v>1</v>
      </c>
      <c r="DH268" s="18">
        <v>1</v>
      </c>
      <c r="DI268" s="18">
        <v>1</v>
      </c>
      <c r="DK268" s="18">
        <v>0</v>
      </c>
      <c r="DL268" s="18">
        <v>0</v>
      </c>
      <c r="DM268" s="18" t="s">
        <v>5127</v>
      </c>
      <c r="DN268" s="18" t="s">
        <v>5258</v>
      </c>
      <c r="DO268" s="18" t="s">
        <v>5259</v>
      </c>
      <c r="DP268" s="18" t="s">
        <v>113</v>
      </c>
      <c r="DS268" s="18">
        <v>0</v>
      </c>
      <c r="DT268" s="18">
        <v>1</v>
      </c>
      <c r="DU268" s="18">
        <v>1</v>
      </c>
      <c r="DV268" s="18" t="s">
        <v>5444</v>
      </c>
      <c r="DX268" s="18" t="s">
        <v>5145</v>
      </c>
      <c r="DY268" s="18" t="s">
        <v>106</v>
      </c>
      <c r="DZ268" s="18" t="s">
        <v>113</v>
      </c>
      <c r="EA268" s="18" t="s">
        <v>5453</v>
      </c>
      <c r="EB268" s="18">
        <v>96</v>
      </c>
      <c r="EC268" s="18" t="s">
        <v>106</v>
      </c>
      <c r="ED268" s="18" t="s">
        <v>5147</v>
      </c>
      <c r="EE268" s="18" t="s">
        <v>113</v>
      </c>
      <c r="EF268" s="18" t="s">
        <v>113</v>
      </c>
      <c r="EG268" s="18" t="s">
        <v>5148</v>
      </c>
      <c r="EH268" s="18" t="s">
        <v>5203</v>
      </c>
      <c r="EI268" s="18" t="s">
        <v>6065</v>
      </c>
      <c r="EJ268" s="18" t="s">
        <v>5316</v>
      </c>
      <c r="EN268" s="18" t="s">
        <v>113</v>
      </c>
      <c r="EO268" s="18" t="s">
        <v>113</v>
      </c>
      <c r="EP268" s="18" t="s">
        <v>113</v>
      </c>
      <c r="EQ268" s="18" t="s">
        <v>113</v>
      </c>
      <c r="ER268" s="18" t="s">
        <v>5289</v>
      </c>
      <c r="ES268" s="18" t="s">
        <v>5317</v>
      </c>
      <c r="ET268" s="18" t="s">
        <v>5154</v>
      </c>
      <c r="EU268" s="18" t="s">
        <v>5155</v>
      </c>
      <c r="EV268" s="18" t="s">
        <v>5626</v>
      </c>
      <c r="EW268" s="18" t="s">
        <v>5993</v>
      </c>
      <c r="EX268" s="18" t="s">
        <v>5158</v>
      </c>
      <c r="EY268" s="18" t="s">
        <v>5181</v>
      </c>
      <c r="EZ268" s="18" t="s">
        <v>5160</v>
      </c>
      <c r="FA268" s="18" t="s">
        <v>144</v>
      </c>
      <c r="FB268" s="18" t="s">
        <v>5161</v>
      </c>
    </row>
    <row r="269" spans="1:158" ht="10.5" customHeight="1" x14ac:dyDescent="0.2">
      <c r="A269" s="16">
        <v>41</v>
      </c>
      <c r="B269" s="16" t="s">
        <v>2535</v>
      </c>
      <c r="C269" s="16" t="s">
        <v>2534</v>
      </c>
      <c r="D269" s="16">
        <v>5226</v>
      </c>
      <c r="E269" s="16" t="s">
        <v>6656</v>
      </c>
      <c r="F269" s="18" t="s">
        <v>2534</v>
      </c>
      <c r="G269" s="18" t="s">
        <v>106</v>
      </c>
      <c r="H269" s="15" t="s">
        <v>5127</v>
      </c>
      <c r="I269" s="18">
        <v>4</v>
      </c>
      <c r="J269" s="18">
        <v>1</v>
      </c>
      <c r="K269" s="18">
        <v>3</v>
      </c>
      <c r="L269" s="18">
        <v>0</v>
      </c>
      <c r="M269" s="18" t="s">
        <v>5183</v>
      </c>
      <c r="N269" s="18" t="s">
        <v>6098</v>
      </c>
      <c r="O269" s="18">
        <v>46984</v>
      </c>
      <c r="T269" s="18" t="s">
        <v>111</v>
      </c>
      <c r="U269" s="18" t="s">
        <v>5250</v>
      </c>
      <c r="V269" s="18" t="s">
        <v>106</v>
      </c>
      <c r="W269" s="18" t="s">
        <v>5124</v>
      </c>
      <c r="Y269" s="18" t="s">
        <v>5656</v>
      </c>
      <c r="Z269" s="18" t="s">
        <v>106</v>
      </c>
      <c r="AA269" s="18" t="s">
        <v>5163</v>
      </c>
      <c r="AB269" s="18" t="s">
        <v>5213</v>
      </c>
      <c r="AC269" s="18" t="s">
        <v>5127</v>
      </c>
      <c r="AD269" s="18" t="s">
        <v>5127</v>
      </c>
      <c r="AE269" s="18" t="s">
        <v>5127</v>
      </c>
      <c r="AF269" s="18" t="s">
        <v>111</v>
      </c>
      <c r="AG269" s="18" t="s">
        <v>5127</v>
      </c>
      <c r="AH269" s="18" t="s">
        <v>5127</v>
      </c>
      <c r="AI269" s="18">
        <v>1</v>
      </c>
      <c r="AK269" s="18" t="s">
        <v>5164</v>
      </c>
      <c r="AN269" s="18">
        <v>9000</v>
      </c>
      <c r="AO269" s="18" t="s">
        <v>5129</v>
      </c>
      <c r="AP269" s="18" t="s">
        <v>6099</v>
      </c>
      <c r="AQ269" s="18" t="s">
        <v>5393</v>
      </c>
      <c r="AR269" s="18" t="s">
        <v>5132</v>
      </c>
      <c r="AT269" s="17">
        <f>(365*D269*0.7)/1000</f>
        <v>1335.2429999999999</v>
      </c>
      <c r="AU269" s="17">
        <f t="shared" si="12"/>
        <v>3000</v>
      </c>
      <c r="AV269" s="18">
        <v>3000</v>
      </c>
      <c r="AW269" s="18">
        <v>0</v>
      </c>
      <c r="AY269" s="18" t="s">
        <v>164</v>
      </c>
      <c r="AZ269" s="18">
        <v>0</v>
      </c>
      <c r="BA269" s="18">
        <v>0</v>
      </c>
      <c r="BB269" s="18">
        <v>0</v>
      </c>
      <c r="BD269" s="18">
        <v>0</v>
      </c>
      <c r="BE269" s="18">
        <v>0</v>
      </c>
      <c r="BG269" s="18" t="s">
        <v>164</v>
      </c>
      <c r="BH269" s="18">
        <v>0</v>
      </c>
      <c r="BI269" s="18">
        <v>0</v>
      </c>
      <c r="BJ269" s="18">
        <v>0</v>
      </c>
      <c r="BQ269" s="18">
        <v>42037</v>
      </c>
      <c r="BR269" s="18">
        <v>2375</v>
      </c>
      <c r="BS269" s="18">
        <v>6668</v>
      </c>
      <c r="BT269" s="18">
        <v>10370</v>
      </c>
      <c r="BU269" s="18">
        <v>817</v>
      </c>
      <c r="BV269" s="18">
        <v>899825</v>
      </c>
      <c r="BW269" s="15">
        <f t="shared" si="13"/>
        <v>62267</v>
      </c>
      <c r="BX269" s="18">
        <f>SUM(BQ269:BU269)/1000</f>
        <v>62.267000000000003</v>
      </c>
      <c r="BY269" s="18" t="s">
        <v>5939</v>
      </c>
      <c r="BZ269" s="18" t="s">
        <v>193</v>
      </c>
      <c r="CD269" s="18" t="s">
        <v>5127</v>
      </c>
      <c r="CE269" s="18" t="s">
        <v>111</v>
      </c>
      <c r="CF269" s="18" t="s">
        <v>5135</v>
      </c>
      <c r="CG269" s="18" t="s">
        <v>5715</v>
      </c>
      <c r="CH269" s="18" t="s">
        <v>5556</v>
      </c>
      <c r="CI269" s="18" t="s">
        <v>5138</v>
      </c>
      <c r="CJ269" s="18" t="s">
        <v>5139</v>
      </c>
      <c r="CK269" s="18" t="s">
        <v>5341</v>
      </c>
      <c r="CL269" s="18">
        <v>1</v>
      </c>
      <c r="CM269" s="18">
        <v>0</v>
      </c>
      <c r="CN269" s="18">
        <v>0</v>
      </c>
      <c r="CO269" s="18">
        <v>1</v>
      </c>
      <c r="CP269" s="18">
        <v>1</v>
      </c>
      <c r="CQ269" s="18">
        <v>0</v>
      </c>
      <c r="CR269" s="18">
        <v>1</v>
      </c>
      <c r="CS269" s="18">
        <v>2</v>
      </c>
      <c r="CT269" s="18">
        <v>0</v>
      </c>
      <c r="CU269" s="18">
        <v>0</v>
      </c>
      <c r="CV269" s="18">
        <v>2</v>
      </c>
      <c r="CX269" s="18">
        <v>1</v>
      </c>
      <c r="CY269" s="18">
        <v>1</v>
      </c>
      <c r="CZ269" s="18">
        <v>1</v>
      </c>
      <c r="DA269" s="18">
        <v>1</v>
      </c>
      <c r="DB269" s="18">
        <v>1</v>
      </c>
      <c r="DC269" s="18">
        <v>1</v>
      </c>
      <c r="DD269" s="18">
        <v>1</v>
      </c>
      <c r="DE269" s="18">
        <v>1</v>
      </c>
      <c r="DF269" s="18">
        <v>1</v>
      </c>
      <c r="DG269" s="18">
        <v>1</v>
      </c>
      <c r="DH269" s="18">
        <v>1</v>
      </c>
      <c r="DI269" s="18">
        <v>1</v>
      </c>
      <c r="DK269" s="18">
        <v>0</v>
      </c>
      <c r="DL269" s="18">
        <v>1</v>
      </c>
      <c r="DM269" s="18" t="s">
        <v>5127</v>
      </c>
      <c r="DN269" s="18" t="s">
        <v>5142</v>
      </c>
      <c r="DO269" s="18" t="s">
        <v>6100</v>
      </c>
      <c r="DP269" s="18" t="s">
        <v>106</v>
      </c>
      <c r="DQ269" s="18" t="s">
        <v>179</v>
      </c>
      <c r="DS269" s="18">
        <v>0</v>
      </c>
      <c r="DT269" s="18">
        <v>1</v>
      </c>
      <c r="DU269" s="18">
        <v>1</v>
      </c>
      <c r="DV269" s="18" t="s">
        <v>5444</v>
      </c>
      <c r="DX269" s="18" t="s">
        <v>5222</v>
      </c>
      <c r="DY269" s="18" t="s">
        <v>106</v>
      </c>
      <c r="DZ269" s="18" t="s">
        <v>113</v>
      </c>
      <c r="EA269" s="18" t="s">
        <v>5302</v>
      </c>
      <c r="EB269" s="18">
        <v>89985</v>
      </c>
      <c r="EC269" s="18" t="s">
        <v>113</v>
      </c>
      <c r="ED269" s="18" t="s">
        <v>5176</v>
      </c>
      <c r="EE269" s="18" t="s">
        <v>106</v>
      </c>
      <c r="EF269" s="18" t="s">
        <v>113</v>
      </c>
      <c r="EG269" s="18" t="s">
        <v>5148</v>
      </c>
      <c r="EH269" s="18" t="s">
        <v>5149</v>
      </c>
      <c r="EI269" s="18" t="s">
        <v>5204</v>
      </c>
      <c r="EJ269" s="18" t="s">
        <v>5245</v>
      </c>
      <c r="EK269" s="18" t="s">
        <v>113</v>
      </c>
      <c r="EL269" s="18" t="s">
        <v>6101</v>
      </c>
      <c r="EM269" s="18" t="s">
        <v>5227</v>
      </c>
      <c r="EN269" s="18" t="s">
        <v>113</v>
      </c>
      <c r="EO269" s="18" t="s">
        <v>106</v>
      </c>
      <c r="EP269" s="18" t="s">
        <v>113</v>
      </c>
      <c r="EQ269" s="18" t="s">
        <v>113</v>
      </c>
      <c r="ER269" s="18" t="s">
        <v>5289</v>
      </c>
      <c r="ES269" s="18" t="s">
        <v>5317</v>
      </c>
      <c r="ET269" s="18" t="s">
        <v>5154</v>
      </c>
      <c r="EU269" s="18" t="s">
        <v>5318</v>
      </c>
      <c r="EV269" s="18" t="s">
        <v>5626</v>
      </c>
      <c r="EW269" s="18" t="s">
        <v>6010</v>
      </c>
      <c r="EX269" s="18" t="s">
        <v>5158</v>
      </c>
      <c r="EY269" s="18" t="s">
        <v>6102</v>
      </c>
      <c r="EZ269" s="18" t="s">
        <v>5160</v>
      </c>
      <c r="FA269" s="18" t="s">
        <v>144</v>
      </c>
      <c r="FB269" s="18" t="s">
        <v>5161</v>
      </c>
    </row>
    <row r="270" spans="1:158" ht="10.5" customHeight="1" x14ac:dyDescent="0.2">
      <c r="A270" s="16">
        <v>41</v>
      </c>
      <c r="B270" s="16" t="s">
        <v>2535</v>
      </c>
      <c r="C270" s="16" t="s">
        <v>2534</v>
      </c>
      <c r="D270" s="16">
        <v>5226</v>
      </c>
      <c r="E270" s="16" t="s">
        <v>6656</v>
      </c>
      <c r="F270" s="18" t="s">
        <v>2534</v>
      </c>
      <c r="G270" s="18" t="s">
        <v>106</v>
      </c>
      <c r="H270" s="15" t="s">
        <v>5127</v>
      </c>
      <c r="I270" s="18">
        <v>5</v>
      </c>
      <c r="J270" s="18">
        <v>1</v>
      </c>
      <c r="K270" s="18">
        <v>4</v>
      </c>
      <c r="L270" s="18">
        <v>0</v>
      </c>
      <c r="M270" s="18" t="s">
        <v>5183</v>
      </c>
      <c r="N270" s="18" t="s">
        <v>6103</v>
      </c>
      <c r="O270" s="18">
        <v>46984</v>
      </c>
      <c r="T270" s="18" t="s">
        <v>111</v>
      </c>
      <c r="U270" s="18" t="s">
        <v>5123</v>
      </c>
      <c r="V270" s="18" t="s">
        <v>106</v>
      </c>
      <c r="W270" s="18" t="s">
        <v>5211</v>
      </c>
      <c r="Y270" s="18" t="s">
        <v>5656</v>
      </c>
      <c r="Z270" s="18" t="s">
        <v>106</v>
      </c>
      <c r="AA270" s="18" t="s">
        <v>5163</v>
      </c>
      <c r="AB270" s="18" t="s">
        <v>179</v>
      </c>
      <c r="AC270" s="18" t="s">
        <v>5127</v>
      </c>
      <c r="AD270" s="18" t="s">
        <v>5127</v>
      </c>
      <c r="AE270" s="18" t="s">
        <v>5127</v>
      </c>
      <c r="AF270" s="18" t="s">
        <v>5127</v>
      </c>
      <c r="AG270" s="18" t="s">
        <v>5127</v>
      </c>
      <c r="AH270" s="18" t="s">
        <v>5127</v>
      </c>
      <c r="AI270" s="18">
        <v>1</v>
      </c>
      <c r="AK270" s="18" t="s">
        <v>5164</v>
      </c>
      <c r="AN270" s="18">
        <v>0</v>
      </c>
      <c r="AO270" s="18" t="s">
        <v>5129</v>
      </c>
      <c r="AP270" s="18" t="s">
        <v>6104</v>
      </c>
      <c r="AQ270" s="18" t="s">
        <v>5393</v>
      </c>
      <c r="AR270" s="18" t="s">
        <v>5132</v>
      </c>
      <c r="AT270" s="17">
        <f>(365*D270*0.7)/1000</f>
        <v>1335.2429999999999</v>
      </c>
      <c r="AU270" s="17">
        <f t="shared" si="12"/>
        <v>20</v>
      </c>
      <c r="AV270" s="18">
        <v>20</v>
      </c>
      <c r="AW270" s="18">
        <v>0</v>
      </c>
      <c r="AY270" s="18" t="s">
        <v>164</v>
      </c>
      <c r="AZ270" s="18">
        <v>0</v>
      </c>
      <c r="BA270" s="18">
        <v>0</v>
      </c>
      <c r="BB270" s="18">
        <v>0</v>
      </c>
      <c r="BD270" s="18">
        <v>0</v>
      </c>
      <c r="BE270" s="18">
        <v>0</v>
      </c>
      <c r="BG270" s="18" t="s">
        <v>164</v>
      </c>
      <c r="BH270" s="18">
        <v>0</v>
      </c>
      <c r="BI270" s="18">
        <v>0</v>
      </c>
      <c r="BJ270" s="18">
        <v>0</v>
      </c>
      <c r="BQ270" s="18">
        <f>42037/1000</f>
        <v>42.036999999999999</v>
      </c>
      <c r="BR270" s="18">
        <f>23751/1000</f>
        <v>23.751000000000001</v>
      </c>
      <c r="BS270" s="18">
        <f>6668/1000</f>
        <v>6.6680000000000001</v>
      </c>
      <c r="BT270" s="18">
        <f>10370/1000</f>
        <v>10.37</v>
      </c>
      <c r="BU270" s="18">
        <f>817/1000</f>
        <v>0.81699999999999995</v>
      </c>
      <c r="BV270" s="18">
        <f>83650/1000</f>
        <v>83.65</v>
      </c>
      <c r="BW270" s="15">
        <f t="shared" si="13"/>
        <v>83.643000000000001</v>
      </c>
      <c r="BY270" s="18" t="s">
        <v>6105</v>
      </c>
      <c r="BZ270" s="18" t="s">
        <v>193</v>
      </c>
      <c r="CD270" s="18" t="s">
        <v>5127</v>
      </c>
      <c r="CE270" s="18" t="s">
        <v>5127</v>
      </c>
      <c r="CF270" s="18" t="s">
        <v>5282</v>
      </c>
      <c r="CG270" s="18" t="s">
        <v>5715</v>
      </c>
      <c r="CH270" s="18" t="s">
        <v>5194</v>
      </c>
      <c r="CI270" s="18" t="s">
        <v>5138</v>
      </c>
      <c r="CJ270" s="18" t="s">
        <v>5139</v>
      </c>
      <c r="CK270" s="18" t="s">
        <v>5171</v>
      </c>
      <c r="CL270" s="18">
        <v>1</v>
      </c>
      <c r="CM270" s="18">
        <v>0</v>
      </c>
      <c r="CN270" s="18">
        <v>0</v>
      </c>
      <c r="CO270" s="18">
        <v>1</v>
      </c>
      <c r="CP270" s="18">
        <v>0</v>
      </c>
      <c r="CQ270" s="18">
        <v>0</v>
      </c>
      <c r="CR270" s="18">
        <v>1</v>
      </c>
      <c r="CS270" s="18">
        <v>1</v>
      </c>
      <c r="CT270" s="18">
        <v>0</v>
      </c>
      <c r="CU270" s="18">
        <v>0</v>
      </c>
      <c r="CV270" s="18">
        <v>2</v>
      </c>
      <c r="CX270" s="18">
        <v>1</v>
      </c>
      <c r="CY270" s="18">
        <v>1</v>
      </c>
      <c r="CZ270" s="18">
        <v>1</v>
      </c>
      <c r="DA270" s="18">
        <v>1</v>
      </c>
      <c r="DB270" s="18">
        <v>1</v>
      </c>
      <c r="DC270" s="18">
        <v>1</v>
      </c>
      <c r="DD270" s="18">
        <v>1</v>
      </c>
      <c r="DE270" s="18">
        <v>2</v>
      </c>
      <c r="DF270" s="18">
        <v>2</v>
      </c>
      <c r="DG270" s="18">
        <v>1</v>
      </c>
      <c r="DH270" s="18">
        <v>1</v>
      </c>
      <c r="DI270" s="18">
        <v>0</v>
      </c>
      <c r="DK270" s="18">
        <v>0</v>
      </c>
      <c r="DL270" s="18">
        <v>0</v>
      </c>
      <c r="DM270" s="18" t="s">
        <v>5127</v>
      </c>
      <c r="DN270" s="18" t="s">
        <v>5142</v>
      </c>
      <c r="DO270" s="18" t="s">
        <v>5259</v>
      </c>
      <c r="DP270" s="18" t="s">
        <v>113</v>
      </c>
      <c r="DQ270" s="18" t="s">
        <v>179</v>
      </c>
      <c r="DS270" s="18">
        <v>0</v>
      </c>
      <c r="DT270" s="18">
        <v>1</v>
      </c>
      <c r="DU270" s="18">
        <v>0</v>
      </c>
      <c r="DV270" s="18" t="s">
        <v>5822</v>
      </c>
      <c r="DX270" s="18" t="s">
        <v>5222</v>
      </c>
      <c r="DY270" s="18" t="s">
        <v>106</v>
      </c>
      <c r="DZ270" s="18" t="s">
        <v>113</v>
      </c>
      <c r="EA270" s="18" t="s">
        <v>5285</v>
      </c>
      <c r="EB270" s="18">
        <v>62650</v>
      </c>
      <c r="EC270" s="18" t="s">
        <v>113</v>
      </c>
      <c r="ED270" s="18" t="s">
        <v>5176</v>
      </c>
      <c r="EE270" s="18" t="s">
        <v>106</v>
      </c>
      <c r="EF270" s="18" t="s">
        <v>106</v>
      </c>
      <c r="EG270" s="18" t="s">
        <v>5970</v>
      </c>
      <c r="EH270" s="18" t="s">
        <v>5203</v>
      </c>
      <c r="EI270" s="18" t="s">
        <v>5204</v>
      </c>
      <c r="EJ270" s="18" t="s">
        <v>5445</v>
      </c>
      <c r="EK270" s="18" t="s">
        <v>113</v>
      </c>
      <c r="EL270" s="18" t="s">
        <v>276</v>
      </c>
      <c r="EM270" s="18" t="s">
        <v>276</v>
      </c>
      <c r="EN270" s="18" t="s">
        <v>113</v>
      </c>
      <c r="EO270" s="18" t="s">
        <v>106</v>
      </c>
      <c r="EP270" s="18" t="s">
        <v>113</v>
      </c>
      <c r="EQ270" s="18" t="s">
        <v>113</v>
      </c>
      <c r="ER270" s="18" t="s">
        <v>5289</v>
      </c>
      <c r="ES270" s="18" t="s">
        <v>5317</v>
      </c>
      <c r="ET270" s="18" t="s">
        <v>5154</v>
      </c>
      <c r="EU270" s="18" t="s">
        <v>5318</v>
      </c>
      <c r="EV270" s="18" t="s">
        <v>5626</v>
      </c>
      <c r="EW270" s="18" t="s">
        <v>5483</v>
      </c>
      <c r="EX270" s="18" t="s">
        <v>5158</v>
      </c>
      <c r="EY270" s="18" t="s">
        <v>5229</v>
      </c>
      <c r="EZ270" s="18" t="s">
        <v>5160</v>
      </c>
      <c r="FA270" s="18" t="s">
        <v>144</v>
      </c>
      <c r="FB270" s="18" t="s">
        <v>5161</v>
      </c>
    </row>
    <row r="271" spans="1:158" ht="10.5" customHeight="1" x14ac:dyDescent="0.2">
      <c r="A271" s="16">
        <v>41</v>
      </c>
      <c r="B271" s="16" t="s">
        <v>2548</v>
      </c>
      <c r="C271" s="16" t="s">
        <v>2225</v>
      </c>
      <c r="D271" s="16">
        <v>23813</v>
      </c>
      <c r="E271" s="16" t="s">
        <v>6658</v>
      </c>
      <c r="F271" s="18" t="s">
        <v>2225</v>
      </c>
      <c r="G271" s="18" t="s">
        <v>106</v>
      </c>
      <c r="H271" s="15" t="s">
        <v>5127</v>
      </c>
      <c r="I271" s="18">
        <v>6</v>
      </c>
      <c r="J271" s="18">
        <v>2</v>
      </c>
      <c r="K271" s="18">
        <v>4</v>
      </c>
      <c r="L271" s="18">
        <v>0</v>
      </c>
      <c r="M271" s="18" t="s">
        <v>5230</v>
      </c>
      <c r="N271" s="18" t="s">
        <v>6106</v>
      </c>
      <c r="O271" s="18">
        <v>54932</v>
      </c>
      <c r="T271" s="18" t="s">
        <v>111</v>
      </c>
      <c r="U271" s="18" t="s">
        <v>5123</v>
      </c>
      <c r="V271" s="18" t="s">
        <v>113</v>
      </c>
      <c r="W271" s="18" t="s">
        <v>113</v>
      </c>
      <c r="Y271" s="18" t="s">
        <v>5656</v>
      </c>
      <c r="Z271" s="18" t="s">
        <v>113</v>
      </c>
      <c r="AA271" s="18" t="s">
        <v>5163</v>
      </c>
      <c r="AB271" s="18" t="s">
        <v>179</v>
      </c>
      <c r="AC271" s="18" t="s">
        <v>111</v>
      </c>
      <c r="AD271" s="18" t="s">
        <v>111</v>
      </c>
      <c r="AE271" s="18" t="s">
        <v>111</v>
      </c>
      <c r="AF271" s="18" t="s">
        <v>111</v>
      </c>
      <c r="AG271" s="18" t="s">
        <v>111</v>
      </c>
      <c r="AH271" s="18" t="s">
        <v>111</v>
      </c>
      <c r="AI271" s="18">
        <v>1</v>
      </c>
      <c r="AK271" s="18" t="s">
        <v>5145</v>
      </c>
      <c r="AN271" s="18">
        <v>450</v>
      </c>
      <c r="AO271" s="18" t="s">
        <v>5186</v>
      </c>
      <c r="AP271" s="18" t="s">
        <v>6107</v>
      </c>
      <c r="AQ271" s="18" t="s">
        <v>5252</v>
      </c>
      <c r="AR271" s="18" t="s">
        <v>5727</v>
      </c>
      <c r="AT271" s="17">
        <f>(365*D271*0.7)/1000</f>
        <v>6084.2214999999997</v>
      </c>
      <c r="AU271" s="17">
        <f t="shared" si="12"/>
        <v>350</v>
      </c>
      <c r="AV271" s="18">
        <v>350</v>
      </c>
      <c r="AW271" s="18">
        <v>0</v>
      </c>
      <c r="AY271" s="18" t="s">
        <v>164</v>
      </c>
      <c r="AZ271" s="18">
        <v>0</v>
      </c>
      <c r="BA271" s="18">
        <v>0</v>
      </c>
      <c r="BB271" s="18">
        <v>0</v>
      </c>
      <c r="BD271" s="18">
        <v>0</v>
      </c>
      <c r="BE271" s="18">
        <v>0</v>
      </c>
      <c r="BG271" s="18" t="s">
        <v>164</v>
      </c>
      <c r="BH271" s="18">
        <v>0</v>
      </c>
      <c r="BI271" s="18">
        <v>0</v>
      </c>
      <c r="BJ271" s="18">
        <v>0</v>
      </c>
      <c r="BQ271" s="18">
        <v>20</v>
      </c>
      <c r="BR271" s="18">
        <v>13</v>
      </c>
      <c r="BS271" s="18">
        <v>3</v>
      </c>
      <c r="BT271" s="18">
        <v>0</v>
      </c>
      <c r="BU271" s="18">
        <v>10</v>
      </c>
      <c r="BV271" s="18">
        <f>SUM(BQ271:BU271)</f>
        <v>46</v>
      </c>
      <c r="BW271" s="15">
        <f t="shared" si="13"/>
        <v>46</v>
      </c>
      <c r="BY271" s="18" t="s">
        <v>5134</v>
      </c>
      <c r="BZ271" s="18" t="s">
        <v>5312</v>
      </c>
      <c r="CD271" s="18" t="s">
        <v>5127</v>
      </c>
      <c r="CE271" s="18" t="s">
        <v>5127</v>
      </c>
      <c r="CF271" s="18" t="s">
        <v>5282</v>
      </c>
      <c r="CG271" s="18" t="s">
        <v>6089</v>
      </c>
      <c r="CH271" s="18" t="s">
        <v>5241</v>
      </c>
      <c r="CI271" s="18" t="s">
        <v>5138</v>
      </c>
      <c r="CJ271" s="18" t="s">
        <v>5786</v>
      </c>
      <c r="CK271" s="18" t="s">
        <v>5171</v>
      </c>
      <c r="CL271" s="18">
        <v>2</v>
      </c>
      <c r="CM271" s="18">
        <v>0</v>
      </c>
      <c r="CN271" s="18">
        <v>0</v>
      </c>
      <c r="CO271" s="18">
        <v>1</v>
      </c>
      <c r="CP271" s="18">
        <v>0</v>
      </c>
      <c r="CQ271" s="18">
        <v>1</v>
      </c>
      <c r="CR271" s="18">
        <v>0</v>
      </c>
      <c r="CS271" s="18">
        <v>1</v>
      </c>
      <c r="CT271" s="18">
        <v>1</v>
      </c>
      <c r="CU271" s="18">
        <v>0</v>
      </c>
      <c r="CV271" s="18">
        <v>0</v>
      </c>
      <c r="CX271" s="18">
        <v>1</v>
      </c>
      <c r="CY271" s="18">
        <v>2</v>
      </c>
      <c r="CZ271" s="18">
        <v>1</v>
      </c>
      <c r="DA271" s="18">
        <v>1</v>
      </c>
      <c r="DB271" s="18">
        <v>1</v>
      </c>
      <c r="DC271" s="18">
        <v>1</v>
      </c>
      <c r="DD271" s="18">
        <v>1</v>
      </c>
      <c r="DE271" s="18">
        <v>0</v>
      </c>
      <c r="DF271" s="18" t="s">
        <v>5141</v>
      </c>
      <c r="DG271" s="18">
        <v>1</v>
      </c>
      <c r="DH271" s="18">
        <v>1</v>
      </c>
      <c r="DI271" s="18">
        <v>1</v>
      </c>
      <c r="DK271" s="18">
        <v>0</v>
      </c>
      <c r="DL271" s="18">
        <v>1</v>
      </c>
      <c r="DM271" s="18" t="s">
        <v>5127</v>
      </c>
      <c r="DN271" s="18" t="s">
        <v>5258</v>
      </c>
      <c r="DO271" s="18" t="s">
        <v>5259</v>
      </c>
      <c r="DP271" s="18" t="s">
        <v>113</v>
      </c>
      <c r="DQ271" s="18" t="s">
        <v>179</v>
      </c>
      <c r="DS271" s="18">
        <v>0</v>
      </c>
      <c r="DT271" s="18">
        <v>0</v>
      </c>
      <c r="DU271" s="18">
        <v>1</v>
      </c>
      <c r="DV271" s="18" t="s">
        <v>5144</v>
      </c>
      <c r="DX271" s="18" t="s">
        <v>5222</v>
      </c>
      <c r="DY271" s="18" t="s">
        <v>106</v>
      </c>
      <c r="DZ271" s="18" t="s">
        <v>106</v>
      </c>
      <c r="EA271" s="18" t="s">
        <v>5146</v>
      </c>
      <c r="EB271" s="18">
        <v>50</v>
      </c>
      <c r="EC271" s="18" t="s">
        <v>113</v>
      </c>
      <c r="ED271" s="18" t="s">
        <v>5147</v>
      </c>
      <c r="EE271" s="18" t="s">
        <v>113</v>
      </c>
      <c r="EF271" s="18" t="s">
        <v>106</v>
      </c>
      <c r="EG271" s="18" t="s">
        <v>5404</v>
      </c>
      <c r="EH271" s="18" t="s">
        <v>5203</v>
      </c>
      <c r="EI271" s="18" t="s">
        <v>5204</v>
      </c>
      <c r="EJ271" s="18" t="s">
        <v>6014</v>
      </c>
      <c r="EK271" s="18" t="s">
        <v>113</v>
      </c>
      <c r="EL271" s="18" t="s">
        <v>6108</v>
      </c>
      <c r="EM271" s="18" t="s">
        <v>6109</v>
      </c>
      <c r="EN271" s="18" t="s">
        <v>113</v>
      </c>
      <c r="EO271" s="18" t="s">
        <v>113</v>
      </c>
      <c r="EP271" s="18" t="s">
        <v>113</v>
      </c>
      <c r="EQ271" s="18" t="s">
        <v>113</v>
      </c>
      <c r="ER271" s="18" t="s">
        <v>5152</v>
      </c>
      <c r="ES271" s="18" t="s">
        <v>5153</v>
      </c>
      <c r="ET271" s="18" t="s">
        <v>5154</v>
      </c>
      <c r="EU271" s="18" t="s">
        <v>5318</v>
      </c>
      <c r="EV271" s="18" t="s">
        <v>179</v>
      </c>
      <c r="EW271" s="18" t="s">
        <v>5320</v>
      </c>
      <c r="EX271" s="18" t="s">
        <v>5158</v>
      </c>
      <c r="EY271" s="18" t="s">
        <v>5229</v>
      </c>
      <c r="EZ271" s="18" t="s">
        <v>6110</v>
      </c>
      <c r="FA271" s="18" t="s">
        <v>144</v>
      </c>
      <c r="FB271" s="18" t="s">
        <v>5161</v>
      </c>
    </row>
    <row r="272" spans="1:158" ht="10.5" customHeight="1" x14ac:dyDescent="0.2">
      <c r="A272" s="16">
        <v>41</v>
      </c>
      <c r="B272" s="16" t="s">
        <v>2562</v>
      </c>
      <c r="C272" s="16" t="s">
        <v>2561</v>
      </c>
      <c r="D272" s="16">
        <v>4693</v>
      </c>
      <c r="E272" s="16" t="s">
        <v>6656</v>
      </c>
      <c r="H272" s="15" t="s">
        <v>6661</v>
      </c>
      <c r="AT272" s="17">
        <f>(365*D272*0.7)/1000</f>
        <v>1199.0615</v>
      </c>
      <c r="AU272" s="17">
        <f t="shared" si="12"/>
        <v>0</v>
      </c>
      <c r="BW272" s="15">
        <f t="shared" si="13"/>
        <v>0</v>
      </c>
    </row>
    <row r="273" spans="1:158" ht="10.5" customHeight="1" x14ac:dyDescent="0.2">
      <c r="A273" s="16">
        <v>41</v>
      </c>
      <c r="B273" s="16" t="s">
        <v>2574</v>
      </c>
      <c r="C273" s="16" t="s">
        <v>1338</v>
      </c>
      <c r="D273" s="16">
        <v>577318</v>
      </c>
      <c r="E273" s="16" t="s">
        <v>6660</v>
      </c>
      <c r="F273" s="18" t="s">
        <v>1338</v>
      </c>
      <c r="G273" s="18" t="s">
        <v>106</v>
      </c>
      <c r="H273" s="15" t="s">
        <v>5127</v>
      </c>
      <c r="I273" s="18">
        <v>19</v>
      </c>
      <c r="J273" s="18">
        <v>15</v>
      </c>
      <c r="K273" s="18">
        <v>4</v>
      </c>
      <c r="M273" s="18" t="s">
        <v>5183</v>
      </c>
      <c r="N273" s="18" t="s">
        <v>6111</v>
      </c>
      <c r="O273" s="18">
        <v>46197</v>
      </c>
      <c r="T273" s="18" t="s">
        <v>111</v>
      </c>
      <c r="U273" s="18" t="s">
        <v>5185</v>
      </c>
      <c r="V273" s="18" t="s">
        <v>106</v>
      </c>
      <c r="W273" s="18" t="s">
        <v>5211</v>
      </c>
      <c r="Y273" s="18" t="s">
        <v>5740</v>
      </c>
      <c r="Z273" s="18" t="s">
        <v>106</v>
      </c>
      <c r="AA273" s="18" t="s">
        <v>5267</v>
      </c>
      <c r="AB273" s="18" t="s">
        <v>179</v>
      </c>
      <c r="AC273" s="18" t="s">
        <v>5127</v>
      </c>
      <c r="AD273" s="18" t="s">
        <v>5127</v>
      </c>
      <c r="AE273" s="18" t="s">
        <v>5127</v>
      </c>
      <c r="AF273" s="18" t="s">
        <v>111</v>
      </c>
      <c r="AG273" s="18" t="s">
        <v>5127</v>
      </c>
      <c r="AH273" s="18" t="s">
        <v>111</v>
      </c>
      <c r="AI273" s="18">
        <v>0</v>
      </c>
      <c r="AK273" s="18" t="s">
        <v>5164</v>
      </c>
      <c r="AN273" s="18">
        <v>695</v>
      </c>
      <c r="AO273" s="18" t="s">
        <v>5129</v>
      </c>
      <c r="AP273" s="18" t="s">
        <v>6112</v>
      </c>
      <c r="AQ273" s="18" t="s">
        <v>5442</v>
      </c>
      <c r="AR273" s="18" t="s">
        <v>5168</v>
      </c>
      <c r="AT273" s="17">
        <f>(365*D273*0.7)/1000</f>
        <v>147504.74900000001</v>
      </c>
      <c r="AU273" s="17">
        <f t="shared" si="12"/>
        <v>513</v>
      </c>
      <c r="AV273" s="18">
        <v>160</v>
      </c>
      <c r="AW273" s="18">
        <v>353</v>
      </c>
      <c r="AY273" s="18" t="s">
        <v>164</v>
      </c>
      <c r="BG273" s="18" t="s">
        <v>164</v>
      </c>
      <c r="BH273" s="18">
        <f>5000/1000</f>
        <v>5</v>
      </c>
      <c r="BQ273" s="18">
        <v>269</v>
      </c>
      <c r="BR273" s="18">
        <v>86</v>
      </c>
      <c r="BS273" s="18">
        <v>32</v>
      </c>
      <c r="BT273" s="18">
        <v>115</v>
      </c>
      <c r="BU273" s="18">
        <v>325</v>
      </c>
      <c r="BV273" s="18">
        <f>SUM(BQ273:BU273)</f>
        <v>827</v>
      </c>
      <c r="BW273" s="15">
        <f t="shared" si="13"/>
        <v>827</v>
      </c>
      <c r="BY273" s="18" t="s">
        <v>6113</v>
      </c>
      <c r="BZ273" s="18" t="s">
        <v>5192</v>
      </c>
      <c r="CD273" s="18" t="s">
        <v>5127</v>
      </c>
      <c r="CE273" s="18" t="s">
        <v>111</v>
      </c>
      <c r="CF273" s="18" t="s">
        <v>5135</v>
      </c>
      <c r="CG273" s="18" t="s">
        <v>5193</v>
      </c>
      <c r="CH273" s="18" t="s">
        <v>5241</v>
      </c>
      <c r="CI273" s="18" t="s">
        <v>5195</v>
      </c>
      <c r="CJ273" s="18" t="s">
        <v>5196</v>
      </c>
      <c r="CK273" s="18" t="s">
        <v>5341</v>
      </c>
      <c r="CL273" s="18">
        <v>0</v>
      </c>
      <c r="CM273" s="18">
        <v>0</v>
      </c>
      <c r="CN273" s="18">
        <v>0</v>
      </c>
      <c r="CO273" s="18">
        <v>1</v>
      </c>
      <c r="CP273" s="18">
        <v>1</v>
      </c>
      <c r="CQ273" s="18">
        <v>2</v>
      </c>
      <c r="CR273" s="18">
        <v>0</v>
      </c>
      <c r="CS273" s="18">
        <v>0</v>
      </c>
      <c r="CT273" s="18">
        <v>0</v>
      </c>
      <c r="CU273" s="18">
        <v>0</v>
      </c>
      <c r="CV273" s="18">
        <v>0</v>
      </c>
      <c r="CX273" s="18">
        <v>0</v>
      </c>
      <c r="CY273" s="18">
        <v>1</v>
      </c>
      <c r="CZ273" s="18">
        <v>1</v>
      </c>
      <c r="DA273" s="18">
        <v>1</v>
      </c>
      <c r="DB273" s="18">
        <v>1</v>
      </c>
      <c r="DC273" s="18">
        <v>2</v>
      </c>
      <c r="DD273" s="18">
        <v>2</v>
      </c>
      <c r="DE273" s="18">
        <v>0</v>
      </c>
      <c r="DF273" s="18" t="s">
        <v>5141</v>
      </c>
      <c r="DG273" s="18">
        <v>0</v>
      </c>
      <c r="DH273" s="18">
        <v>2</v>
      </c>
      <c r="DI273" s="18">
        <v>2</v>
      </c>
      <c r="DK273" s="18">
        <v>0</v>
      </c>
      <c r="DL273" s="18">
        <v>0</v>
      </c>
      <c r="DM273" s="18" t="s">
        <v>5127</v>
      </c>
      <c r="DN273" s="18" t="s">
        <v>5258</v>
      </c>
      <c r="DO273" s="18" t="s">
        <v>5199</v>
      </c>
      <c r="DP273" s="18" t="s">
        <v>106</v>
      </c>
      <c r="DQ273" s="18" t="s">
        <v>179</v>
      </c>
      <c r="DS273" s="18" t="s">
        <v>595</v>
      </c>
      <c r="DT273" s="18">
        <v>1</v>
      </c>
      <c r="DU273" s="18">
        <v>1</v>
      </c>
      <c r="DV273" s="18" t="s">
        <v>6021</v>
      </c>
      <c r="DX273" s="18" t="s">
        <v>5222</v>
      </c>
      <c r="DY273" s="18" t="s">
        <v>106</v>
      </c>
      <c r="DZ273" s="18" t="s">
        <v>113</v>
      </c>
      <c r="EA273" s="18" t="s">
        <v>5146</v>
      </c>
      <c r="EB273" s="18">
        <v>549</v>
      </c>
      <c r="EC273" s="18" t="s">
        <v>106</v>
      </c>
      <c r="ED273" s="18" t="s">
        <v>5147</v>
      </c>
      <c r="EE273" s="18" t="s">
        <v>106</v>
      </c>
      <c r="EG273" s="18" t="s">
        <v>5148</v>
      </c>
      <c r="EH273" s="18" t="s">
        <v>5203</v>
      </c>
      <c r="EI273" s="18" t="s">
        <v>5303</v>
      </c>
      <c r="EJ273" s="18" t="s">
        <v>5327</v>
      </c>
      <c r="EN273" s="18" t="s">
        <v>113</v>
      </c>
      <c r="EO273" s="18" t="s">
        <v>113</v>
      </c>
      <c r="EP273" s="18" t="s">
        <v>113</v>
      </c>
      <c r="EQ273" s="18" t="s">
        <v>113</v>
      </c>
      <c r="ER273" s="18" t="s">
        <v>5152</v>
      </c>
      <c r="ES273" s="18" t="s">
        <v>5153</v>
      </c>
      <c r="ET273" s="18" t="s">
        <v>5154</v>
      </c>
      <c r="EU273" s="18" t="s">
        <v>5289</v>
      </c>
      <c r="EV273" s="18" t="s">
        <v>6039</v>
      </c>
      <c r="EW273" s="18" t="s">
        <v>5766</v>
      </c>
      <c r="EX273" s="18" t="s">
        <v>5845</v>
      </c>
      <c r="EY273" s="18" t="s">
        <v>5278</v>
      </c>
      <c r="EZ273" s="18" t="s">
        <v>5182</v>
      </c>
      <c r="FA273" s="18" t="s">
        <v>144</v>
      </c>
      <c r="FB273" s="18" t="s">
        <v>5161</v>
      </c>
    </row>
    <row r="274" spans="1:158" ht="10.5" customHeight="1" x14ac:dyDescent="0.2">
      <c r="A274" s="16">
        <v>41</v>
      </c>
      <c r="B274" s="16" t="s">
        <v>2574</v>
      </c>
      <c r="C274" s="16" t="s">
        <v>1338</v>
      </c>
      <c r="D274" s="16">
        <v>577318</v>
      </c>
      <c r="E274" s="16" t="s">
        <v>6660</v>
      </c>
      <c r="F274" s="18" t="s">
        <v>1338</v>
      </c>
      <c r="G274" s="18" t="s">
        <v>106</v>
      </c>
      <c r="H274" s="15" t="s">
        <v>5127</v>
      </c>
      <c r="I274" s="18">
        <v>28</v>
      </c>
      <c r="J274" s="18">
        <v>10</v>
      </c>
      <c r="K274" s="18">
        <v>18</v>
      </c>
      <c r="L274" s="18">
        <v>0</v>
      </c>
      <c r="M274" s="18" t="s">
        <v>5183</v>
      </c>
      <c r="N274" s="18">
        <v>0</v>
      </c>
      <c r="O274" s="18" t="s">
        <v>6114</v>
      </c>
      <c r="T274" s="18" t="s">
        <v>5546</v>
      </c>
      <c r="U274" s="18" t="s">
        <v>5185</v>
      </c>
      <c r="V274" s="18" t="s">
        <v>106</v>
      </c>
      <c r="W274" s="18" t="s">
        <v>5211</v>
      </c>
      <c r="Y274" s="18" t="s">
        <v>5555</v>
      </c>
      <c r="Z274" s="18" t="s">
        <v>106</v>
      </c>
      <c r="AA274" s="18" t="s">
        <v>5267</v>
      </c>
      <c r="AC274" s="18" t="s">
        <v>5127</v>
      </c>
      <c r="AD274" s="18" t="s">
        <v>5127</v>
      </c>
      <c r="AE274" s="18" t="s">
        <v>5127</v>
      </c>
      <c r="AF274" s="18" t="s">
        <v>5127</v>
      </c>
      <c r="AG274" s="18" t="s">
        <v>5127</v>
      </c>
      <c r="AH274" s="18" t="s">
        <v>5127</v>
      </c>
      <c r="AI274" s="18">
        <v>1</v>
      </c>
      <c r="AK274" s="18" t="s">
        <v>5145</v>
      </c>
      <c r="AN274" s="18">
        <v>2158</v>
      </c>
      <c r="AO274" s="18" t="s">
        <v>5186</v>
      </c>
      <c r="AP274" s="18" t="s">
        <v>6115</v>
      </c>
      <c r="AQ274" s="18" t="s">
        <v>6088</v>
      </c>
      <c r="AR274" s="18" t="s">
        <v>5168</v>
      </c>
      <c r="AT274" s="17">
        <f>(365*D274*0.7)/1000</f>
        <v>147504.74900000001</v>
      </c>
      <c r="AU274" s="17">
        <f t="shared" si="12"/>
        <v>650</v>
      </c>
      <c r="AV274" s="18">
        <v>650</v>
      </c>
      <c r="AW274" s="18">
        <v>0</v>
      </c>
      <c r="AY274" s="18" t="s">
        <v>5334</v>
      </c>
      <c r="BG274" s="18" t="s">
        <v>164</v>
      </c>
      <c r="BQ274" s="18">
        <v>40</v>
      </c>
      <c r="BR274" s="18">
        <v>20</v>
      </c>
      <c r="BS274" s="18">
        <v>800</v>
      </c>
      <c r="BT274" s="18">
        <v>60</v>
      </c>
      <c r="BU274" s="18">
        <v>0</v>
      </c>
      <c r="BV274" s="18">
        <f t="shared" ref="BV274:BV279" si="14">SUM(BQ274:BU274)</f>
        <v>920</v>
      </c>
      <c r="BW274" s="15">
        <f t="shared" si="13"/>
        <v>920</v>
      </c>
      <c r="BY274" s="18" t="s">
        <v>5134</v>
      </c>
      <c r="BZ274" s="18" t="s">
        <v>5312</v>
      </c>
      <c r="CD274" s="18" t="s">
        <v>5127</v>
      </c>
      <c r="CE274" s="18" t="s">
        <v>5127</v>
      </c>
      <c r="CF274" s="18" t="s">
        <v>5282</v>
      </c>
      <c r="CG274" s="18" t="s">
        <v>5679</v>
      </c>
      <c r="CH274" s="18" t="s">
        <v>5284</v>
      </c>
      <c r="CI274" s="18" t="s">
        <v>5195</v>
      </c>
      <c r="CJ274" s="18" t="s">
        <v>5196</v>
      </c>
      <c r="CK274" s="18" t="s">
        <v>5197</v>
      </c>
      <c r="CL274" s="18">
        <v>1</v>
      </c>
      <c r="CM274" s="18">
        <v>0</v>
      </c>
      <c r="CN274" s="18">
        <v>0</v>
      </c>
      <c r="CO274" s="18">
        <v>1</v>
      </c>
      <c r="CP274" s="18">
        <v>1</v>
      </c>
      <c r="CQ274" s="18">
        <v>0</v>
      </c>
      <c r="CR274" s="18">
        <v>0</v>
      </c>
      <c r="CS274" s="18">
        <v>1</v>
      </c>
      <c r="CT274" s="18">
        <v>0</v>
      </c>
      <c r="CU274" s="18">
        <v>0</v>
      </c>
      <c r="CV274" s="18">
        <v>0</v>
      </c>
      <c r="CX274" s="18">
        <v>1</v>
      </c>
      <c r="CY274" s="18">
        <v>1</v>
      </c>
      <c r="CZ274" s="18">
        <v>1</v>
      </c>
      <c r="DA274" s="18">
        <v>1</v>
      </c>
      <c r="DB274" s="18">
        <v>1</v>
      </c>
      <c r="DC274" s="18">
        <v>1</v>
      </c>
      <c r="DD274" s="18">
        <v>1</v>
      </c>
      <c r="DE274" s="18">
        <v>1</v>
      </c>
      <c r="DF274" s="18">
        <v>1</v>
      </c>
      <c r="DG274" s="18">
        <v>1</v>
      </c>
      <c r="DH274" s="18">
        <v>1</v>
      </c>
      <c r="DI274" s="18">
        <v>1</v>
      </c>
      <c r="DK274" s="18">
        <v>0</v>
      </c>
      <c r="DL274" s="18">
        <v>1</v>
      </c>
      <c r="DM274" s="18" t="s">
        <v>5127</v>
      </c>
      <c r="DN274" s="18" t="s">
        <v>5172</v>
      </c>
      <c r="DO274" s="18" t="s">
        <v>5681</v>
      </c>
      <c r="DP274" s="18" t="s">
        <v>106</v>
      </c>
      <c r="DQ274" s="18" t="s">
        <v>5168</v>
      </c>
      <c r="DS274" s="18">
        <v>0</v>
      </c>
      <c r="DT274" s="18">
        <v>1</v>
      </c>
      <c r="DU274" s="18">
        <v>1</v>
      </c>
      <c r="DV274" s="18" t="s">
        <v>5958</v>
      </c>
      <c r="DX274" s="18" t="s">
        <v>5222</v>
      </c>
      <c r="DY274" s="18" t="s">
        <v>106</v>
      </c>
      <c r="DZ274" s="18" t="s">
        <v>113</v>
      </c>
      <c r="EA274" s="18" t="s">
        <v>5146</v>
      </c>
      <c r="EB274" s="18">
        <v>1508</v>
      </c>
      <c r="EC274" s="18" t="s">
        <v>106</v>
      </c>
      <c r="ED274" s="18" t="s">
        <v>5176</v>
      </c>
      <c r="EE274" s="18" t="s">
        <v>106</v>
      </c>
      <c r="EF274" s="18" t="s">
        <v>113</v>
      </c>
      <c r="EG274" s="18" t="s">
        <v>5148</v>
      </c>
      <c r="EH274" s="18" t="s">
        <v>5149</v>
      </c>
      <c r="EI274" s="18" t="s">
        <v>5204</v>
      </c>
      <c r="EJ274" s="18" t="s">
        <v>5245</v>
      </c>
      <c r="EK274" s="18" t="s">
        <v>113</v>
      </c>
      <c r="EN274" s="18" t="s">
        <v>113</v>
      </c>
      <c r="EO274" s="18" t="s">
        <v>113</v>
      </c>
      <c r="EP274" s="18" t="s">
        <v>113</v>
      </c>
      <c r="EQ274" s="18" t="s">
        <v>113</v>
      </c>
      <c r="ER274" s="18" t="s">
        <v>5152</v>
      </c>
      <c r="ES274" s="18" t="s">
        <v>5153</v>
      </c>
      <c r="ET274" s="18" t="s">
        <v>5154</v>
      </c>
      <c r="EU274" s="18" t="s">
        <v>5318</v>
      </c>
      <c r="EV274" s="18" t="s">
        <v>6116</v>
      </c>
      <c r="EW274" s="18" t="s">
        <v>6117</v>
      </c>
      <c r="EX274" s="18" t="s">
        <v>5158</v>
      </c>
      <c r="EY274" s="18" t="s">
        <v>5248</v>
      </c>
      <c r="EZ274" s="18" t="s">
        <v>5182</v>
      </c>
      <c r="FA274" s="18" t="s">
        <v>144</v>
      </c>
      <c r="FB274" s="18" t="s">
        <v>5161</v>
      </c>
    </row>
    <row r="275" spans="1:158" ht="10.5" customHeight="1" x14ac:dyDescent="0.2">
      <c r="A275" s="16">
        <v>41</v>
      </c>
      <c r="B275" s="16" t="s">
        <v>2574</v>
      </c>
      <c r="C275" s="16" t="s">
        <v>1338</v>
      </c>
      <c r="D275" s="16">
        <v>577318</v>
      </c>
      <c r="E275" s="16" t="s">
        <v>6660</v>
      </c>
      <c r="F275" s="18" t="s">
        <v>1338</v>
      </c>
      <c r="G275" s="18" t="s">
        <v>106</v>
      </c>
      <c r="H275" s="15" t="s">
        <v>5127</v>
      </c>
      <c r="I275" s="18">
        <v>142</v>
      </c>
      <c r="J275" s="18">
        <v>97</v>
      </c>
      <c r="K275" s="18">
        <v>43</v>
      </c>
      <c r="L275" s="18" t="s">
        <v>692</v>
      </c>
      <c r="M275" s="18" t="s">
        <v>5183</v>
      </c>
      <c r="N275" s="18" t="s">
        <v>6118</v>
      </c>
      <c r="O275" s="18">
        <v>47312</v>
      </c>
      <c r="T275" s="18" t="s">
        <v>6119</v>
      </c>
      <c r="U275" s="18" t="s">
        <v>5185</v>
      </c>
      <c r="V275" s="18" t="s">
        <v>106</v>
      </c>
      <c r="W275" s="18" t="s">
        <v>5124</v>
      </c>
      <c r="Y275" s="18" t="s">
        <v>5212</v>
      </c>
      <c r="Z275" s="18" t="s">
        <v>106</v>
      </c>
      <c r="AA275" s="18" t="s">
        <v>5163</v>
      </c>
      <c r="AB275" s="18" t="s">
        <v>179</v>
      </c>
      <c r="AC275" s="18" t="s">
        <v>5127</v>
      </c>
      <c r="AD275" s="18" t="s">
        <v>5127</v>
      </c>
      <c r="AE275" s="18" t="s">
        <v>5127</v>
      </c>
      <c r="AF275" s="18" t="s">
        <v>5127</v>
      </c>
      <c r="AG275" s="18" t="s">
        <v>5127</v>
      </c>
      <c r="AH275" s="18" t="s">
        <v>5127</v>
      </c>
      <c r="AI275" s="18">
        <v>4</v>
      </c>
      <c r="AK275" s="18" t="s">
        <v>5164</v>
      </c>
      <c r="AN275" s="18">
        <v>0</v>
      </c>
      <c r="AO275" s="18" t="s">
        <v>5165</v>
      </c>
      <c r="AP275" s="18" t="s">
        <v>6120</v>
      </c>
      <c r="AQ275" s="18" t="s">
        <v>5393</v>
      </c>
      <c r="AR275" s="18" t="s">
        <v>5168</v>
      </c>
      <c r="AT275" s="17">
        <f>(365*D275*0.7)/1000</f>
        <v>147504.74900000001</v>
      </c>
      <c r="AU275" s="17">
        <f t="shared" si="12"/>
        <v>0</v>
      </c>
      <c r="AV275" s="18">
        <v>0</v>
      </c>
      <c r="AW275" s="18" t="s">
        <v>220</v>
      </c>
      <c r="AY275" s="18" t="s">
        <v>164</v>
      </c>
      <c r="BG275" s="18" t="s">
        <v>5613</v>
      </c>
      <c r="BH275" s="18">
        <f>19400/1000</f>
        <v>19.399999999999999</v>
      </c>
      <c r="BQ275" s="18">
        <v>1098</v>
      </c>
      <c r="BR275" s="18">
        <v>573</v>
      </c>
      <c r="BS275" s="18">
        <v>166</v>
      </c>
      <c r="BT275" s="18">
        <v>529</v>
      </c>
      <c r="BU275" s="18" t="s">
        <v>220</v>
      </c>
      <c r="BV275" s="18">
        <f t="shared" si="14"/>
        <v>2366</v>
      </c>
      <c r="BW275" s="15">
        <f t="shared" si="13"/>
        <v>2366</v>
      </c>
      <c r="BY275" s="18" t="s">
        <v>5134</v>
      </c>
      <c r="BZ275" s="18" t="s">
        <v>5240</v>
      </c>
      <c r="CD275" s="18" t="s">
        <v>5127</v>
      </c>
      <c r="CE275" s="18" t="s">
        <v>5127</v>
      </c>
      <c r="CF275" s="18" t="s">
        <v>5135</v>
      </c>
      <c r="CG275" s="18" t="s">
        <v>5193</v>
      </c>
      <c r="CH275" s="18" t="s">
        <v>5137</v>
      </c>
      <c r="CI275" s="18" t="s">
        <v>5195</v>
      </c>
      <c r="CJ275" s="18" t="s">
        <v>5196</v>
      </c>
      <c r="CK275" s="18" t="s">
        <v>5197</v>
      </c>
      <c r="CL275" s="18" t="s">
        <v>5141</v>
      </c>
      <c r="CM275" s="18">
        <v>1</v>
      </c>
      <c r="CN275" s="18">
        <v>3</v>
      </c>
      <c r="CO275" s="18">
        <v>4</v>
      </c>
      <c r="CP275" s="18" t="s">
        <v>5141</v>
      </c>
      <c r="CQ275" s="18">
        <v>3</v>
      </c>
      <c r="CR275" s="18" t="s">
        <v>5141</v>
      </c>
      <c r="CS275" s="18" t="s">
        <v>5141</v>
      </c>
      <c r="CT275" s="18">
        <v>3</v>
      </c>
      <c r="CU275" s="18">
        <v>2</v>
      </c>
      <c r="CV275" s="18" t="s">
        <v>5141</v>
      </c>
      <c r="CX275" s="18">
        <v>4</v>
      </c>
      <c r="CY275" s="18">
        <v>4</v>
      </c>
      <c r="CZ275" s="18">
        <v>4</v>
      </c>
      <c r="DA275" s="18">
        <v>0</v>
      </c>
      <c r="DB275" s="18">
        <v>4</v>
      </c>
      <c r="DC275" s="18" t="s">
        <v>5141</v>
      </c>
      <c r="DD275" s="18">
        <v>4</v>
      </c>
      <c r="DE275" s="18" t="s">
        <v>5141</v>
      </c>
      <c r="DF275" s="18" t="s">
        <v>5141</v>
      </c>
      <c r="DG275" s="18">
        <v>4</v>
      </c>
      <c r="DH275" s="18">
        <v>4</v>
      </c>
      <c r="DI275" s="18" t="s">
        <v>5141</v>
      </c>
      <c r="DK275" s="18">
        <v>0</v>
      </c>
      <c r="DL275" s="18">
        <v>1</v>
      </c>
      <c r="DM275" s="18" t="s">
        <v>5127</v>
      </c>
      <c r="DN275" s="18" t="s">
        <v>5258</v>
      </c>
      <c r="DO275" s="18" t="s">
        <v>5315</v>
      </c>
      <c r="DP275" s="18" t="s">
        <v>113</v>
      </c>
      <c r="DQ275" s="18" t="s">
        <v>179</v>
      </c>
      <c r="DS275" s="18">
        <v>0</v>
      </c>
      <c r="DT275" s="18" t="s">
        <v>5141</v>
      </c>
      <c r="DU275" s="18" t="s">
        <v>5141</v>
      </c>
      <c r="DV275" s="18" t="s">
        <v>6021</v>
      </c>
      <c r="DX275" s="18" t="s">
        <v>5201</v>
      </c>
      <c r="DY275" s="18" t="s">
        <v>106</v>
      </c>
      <c r="DZ275" s="18" t="s">
        <v>113</v>
      </c>
      <c r="EA275" s="18" t="s">
        <v>5453</v>
      </c>
      <c r="EB275" s="18">
        <v>2366</v>
      </c>
      <c r="EC275" s="18" t="s">
        <v>106</v>
      </c>
      <c r="ED275" s="18" t="s">
        <v>5147</v>
      </c>
      <c r="EE275" s="18" t="s">
        <v>106</v>
      </c>
      <c r="EF275" s="18" t="s">
        <v>106</v>
      </c>
      <c r="EG275" s="18" t="s">
        <v>6121</v>
      </c>
      <c r="EH275" s="18" t="s">
        <v>5203</v>
      </c>
      <c r="EI275" s="18" t="s">
        <v>5204</v>
      </c>
      <c r="EJ275" s="18" t="s">
        <v>5327</v>
      </c>
      <c r="EK275" s="18" t="s">
        <v>113</v>
      </c>
      <c r="EN275" s="18" t="s">
        <v>113</v>
      </c>
      <c r="EO275" s="18" t="s">
        <v>113</v>
      </c>
      <c r="EP275" s="18" t="s">
        <v>113</v>
      </c>
      <c r="EQ275" s="18" t="s">
        <v>113</v>
      </c>
      <c r="ER275" s="18" t="s">
        <v>5206</v>
      </c>
      <c r="ES275" s="18" t="s">
        <v>5153</v>
      </c>
      <c r="EU275" s="18" t="s">
        <v>5318</v>
      </c>
      <c r="EV275" s="18" t="s">
        <v>6122</v>
      </c>
      <c r="EW275" s="18" t="s">
        <v>5291</v>
      </c>
      <c r="EX275" s="18" t="s">
        <v>5158</v>
      </c>
      <c r="EY275" s="18" t="s">
        <v>5248</v>
      </c>
      <c r="EZ275" s="18" t="s">
        <v>5182</v>
      </c>
      <c r="FA275" s="18" t="s">
        <v>144</v>
      </c>
      <c r="FB275" s="18" t="s">
        <v>5161</v>
      </c>
    </row>
    <row r="276" spans="1:158" ht="10.5" customHeight="1" x14ac:dyDescent="0.2">
      <c r="A276" s="16">
        <v>41</v>
      </c>
      <c r="B276" s="16" t="s">
        <v>2574</v>
      </c>
      <c r="C276" s="16" t="s">
        <v>1338</v>
      </c>
      <c r="D276" s="16">
        <v>577318</v>
      </c>
      <c r="E276" s="16" t="s">
        <v>6660</v>
      </c>
      <c r="F276" s="18" t="s">
        <v>1338</v>
      </c>
      <c r="G276" s="18" t="s">
        <v>106</v>
      </c>
      <c r="H276" s="15" t="s">
        <v>5127</v>
      </c>
      <c r="I276" s="18">
        <v>30</v>
      </c>
      <c r="J276" s="18">
        <v>20</v>
      </c>
      <c r="K276" s="18">
        <v>10</v>
      </c>
      <c r="L276" s="18">
        <v>0</v>
      </c>
      <c r="M276" s="18" t="s">
        <v>5121</v>
      </c>
      <c r="N276" s="18" t="s">
        <v>6123</v>
      </c>
      <c r="O276" s="18">
        <v>46301</v>
      </c>
      <c r="T276" s="18" t="s">
        <v>5546</v>
      </c>
      <c r="U276" s="18" t="s">
        <v>5185</v>
      </c>
      <c r="V276" s="18" t="s">
        <v>106</v>
      </c>
      <c r="W276" s="18" t="s">
        <v>5124</v>
      </c>
      <c r="Y276" s="18" t="s">
        <v>5232</v>
      </c>
      <c r="Z276" s="18" t="s">
        <v>106</v>
      </c>
      <c r="AA276" s="18" t="s">
        <v>5267</v>
      </c>
      <c r="AB276" s="18" t="s">
        <v>179</v>
      </c>
      <c r="AC276" s="18" t="s">
        <v>5127</v>
      </c>
      <c r="AD276" s="18" t="s">
        <v>111</v>
      </c>
      <c r="AE276" s="18" t="s">
        <v>5127</v>
      </c>
      <c r="AF276" s="18" t="s">
        <v>111</v>
      </c>
      <c r="AG276" s="18" t="s">
        <v>5127</v>
      </c>
      <c r="AH276" s="18" t="s">
        <v>111</v>
      </c>
      <c r="AI276" s="18">
        <v>1</v>
      </c>
      <c r="AK276" s="18" t="s">
        <v>5164</v>
      </c>
      <c r="AN276" s="18">
        <v>884</v>
      </c>
      <c r="AO276" s="18" t="s">
        <v>5186</v>
      </c>
      <c r="AP276" s="18" t="s">
        <v>6124</v>
      </c>
      <c r="AQ276" s="18" t="s">
        <v>5632</v>
      </c>
      <c r="AR276" s="18" t="s">
        <v>5168</v>
      </c>
      <c r="AT276" s="17">
        <f>(365*D276*0.7)/1000</f>
        <v>147504.74900000001</v>
      </c>
      <c r="AU276" s="17">
        <f t="shared" si="12"/>
        <v>306</v>
      </c>
      <c r="AV276" s="18">
        <v>306</v>
      </c>
      <c r="AW276" s="18">
        <v>0</v>
      </c>
      <c r="AY276" s="18" t="s">
        <v>6125</v>
      </c>
      <c r="BG276" s="18" t="s">
        <v>164</v>
      </c>
      <c r="BQ276" s="18">
        <v>80</v>
      </c>
      <c r="BR276" s="18">
        <v>40</v>
      </c>
      <c r="BS276" s="18">
        <v>0</v>
      </c>
      <c r="BT276" s="18">
        <v>324</v>
      </c>
      <c r="BU276" s="18">
        <v>0</v>
      </c>
      <c r="BV276" s="18">
        <f t="shared" si="14"/>
        <v>444</v>
      </c>
      <c r="BW276" s="15">
        <f t="shared" si="13"/>
        <v>444</v>
      </c>
      <c r="BY276" s="18" t="s">
        <v>5134</v>
      </c>
      <c r="BZ276" s="18" t="s">
        <v>5816</v>
      </c>
      <c r="CD276" s="18" t="s">
        <v>5127</v>
      </c>
      <c r="CE276" s="18" t="s">
        <v>5127</v>
      </c>
      <c r="CF276" s="18" t="s">
        <v>5135</v>
      </c>
      <c r="CG276" s="18" t="s">
        <v>5193</v>
      </c>
      <c r="CH276" s="18" t="s">
        <v>5284</v>
      </c>
      <c r="CI276" s="18" t="s">
        <v>5195</v>
      </c>
      <c r="CJ276" s="18" t="s">
        <v>5196</v>
      </c>
      <c r="CK276" s="18" t="s">
        <v>5197</v>
      </c>
      <c r="CL276" s="18">
        <v>2</v>
      </c>
      <c r="CM276" s="18">
        <v>0</v>
      </c>
      <c r="CN276" s="18">
        <v>1</v>
      </c>
      <c r="CO276" s="18">
        <v>1</v>
      </c>
      <c r="CP276" s="18">
        <v>2</v>
      </c>
      <c r="CQ276" s="18">
        <v>0</v>
      </c>
      <c r="CR276" s="18">
        <v>0</v>
      </c>
      <c r="CS276" s="18">
        <v>5</v>
      </c>
      <c r="CT276" s="18">
        <v>0</v>
      </c>
      <c r="CU276" s="18">
        <v>0</v>
      </c>
      <c r="CV276" s="18">
        <v>0</v>
      </c>
      <c r="CX276" s="18">
        <v>0</v>
      </c>
      <c r="CY276" s="18">
        <v>0</v>
      </c>
      <c r="CZ276" s="18">
        <v>2</v>
      </c>
      <c r="DA276" s="18">
        <v>2</v>
      </c>
      <c r="DB276" s="18">
        <v>3</v>
      </c>
      <c r="DC276" s="18">
        <v>5</v>
      </c>
      <c r="DD276" s="18" t="s">
        <v>5887</v>
      </c>
      <c r="DE276" s="18">
        <v>0</v>
      </c>
      <c r="DF276" s="18" t="s">
        <v>5141</v>
      </c>
      <c r="DG276" s="18">
        <v>1</v>
      </c>
      <c r="DH276" s="18">
        <v>1</v>
      </c>
      <c r="DI276" s="18">
        <v>0</v>
      </c>
      <c r="DK276" s="18">
        <v>0</v>
      </c>
      <c r="DL276" s="18">
        <v>1</v>
      </c>
      <c r="DM276" s="18" t="s">
        <v>5127</v>
      </c>
      <c r="DN276" s="18" t="s">
        <v>5849</v>
      </c>
      <c r="DO276" s="18" t="s">
        <v>5315</v>
      </c>
      <c r="DP276" s="18" t="s">
        <v>113</v>
      </c>
      <c r="DQ276" s="18" t="s">
        <v>5168</v>
      </c>
      <c r="DS276" s="18">
        <v>0</v>
      </c>
      <c r="DT276" s="18">
        <v>2</v>
      </c>
      <c r="DU276" s="18">
        <v>3</v>
      </c>
      <c r="DV276" s="18" t="s">
        <v>5444</v>
      </c>
      <c r="DX276" s="18" t="s">
        <v>5201</v>
      </c>
      <c r="DY276" s="18" t="s">
        <v>106</v>
      </c>
      <c r="DZ276" s="18" t="s">
        <v>113</v>
      </c>
      <c r="EA276" s="18" t="s">
        <v>5243</v>
      </c>
      <c r="EB276" s="18">
        <v>578</v>
      </c>
      <c r="EC276" s="18" t="s">
        <v>106</v>
      </c>
      <c r="ED276" s="18" t="s">
        <v>5147</v>
      </c>
      <c r="EE276" s="18" t="s">
        <v>106</v>
      </c>
      <c r="EF276" s="18" t="s">
        <v>106</v>
      </c>
      <c r="EG276" s="18" t="s">
        <v>5326</v>
      </c>
      <c r="EH276" s="18" t="s">
        <v>5203</v>
      </c>
      <c r="EI276" s="18" t="s">
        <v>5204</v>
      </c>
      <c r="EJ276" s="18" t="s">
        <v>5245</v>
      </c>
      <c r="EK276" s="18" t="s">
        <v>113</v>
      </c>
      <c r="EN276" s="18" t="s">
        <v>113</v>
      </c>
      <c r="EO276" s="18" t="s">
        <v>113</v>
      </c>
      <c r="EP276" s="18" t="s">
        <v>106</v>
      </c>
      <c r="EQ276" s="18" t="s">
        <v>106</v>
      </c>
      <c r="ER276" s="18" t="s">
        <v>5206</v>
      </c>
      <c r="ES276" s="18" t="s">
        <v>5153</v>
      </c>
      <c r="ET276" s="18" t="s">
        <v>5154</v>
      </c>
      <c r="EU276" s="18" t="s">
        <v>5318</v>
      </c>
      <c r="EV276" s="18" t="s">
        <v>5379</v>
      </c>
      <c r="EW276" s="18" t="s">
        <v>5291</v>
      </c>
      <c r="EX276" s="18" t="s">
        <v>5158</v>
      </c>
      <c r="EY276" s="18" t="s">
        <v>5248</v>
      </c>
      <c r="EZ276" s="18" t="s">
        <v>5160</v>
      </c>
      <c r="FA276" s="18" t="s">
        <v>144</v>
      </c>
      <c r="FB276" s="18" t="s">
        <v>5161</v>
      </c>
    </row>
    <row r="277" spans="1:158" ht="10.5" customHeight="1" x14ac:dyDescent="0.2">
      <c r="A277" s="16">
        <v>41</v>
      </c>
      <c r="B277" s="16" t="s">
        <v>2574</v>
      </c>
      <c r="C277" s="16" t="s">
        <v>1338</v>
      </c>
      <c r="D277" s="16">
        <v>577318</v>
      </c>
      <c r="E277" s="16" t="s">
        <v>6660</v>
      </c>
      <c r="F277" s="18" t="s">
        <v>1338</v>
      </c>
      <c r="G277" s="18" t="s">
        <v>106</v>
      </c>
      <c r="H277" s="15" t="s">
        <v>5127</v>
      </c>
      <c r="I277" s="18">
        <v>26</v>
      </c>
      <c r="J277" s="18">
        <v>11</v>
      </c>
      <c r="K277" s="18">
        <v>15</v>
      </c>
      <c r="M277" s="18" t="s">
        <v>5230</v>
      </c>
      <c r="N277" s="18" t="s">
        <v>6126</v>
      </c>
      <c r="O277" s="18">
        <v>45503</v>
      </c>
      <c r="T277" s="18" t="s">
        <v>111</v>
      </c>
      <c r="U277" s="18" t="s">
        <v>5185</v>
      </c>
      <c r="V277" s="18" t="s">
        <v>106</v>
      </c>
      <c r="W277" s="18" t="s">
        <v>5124</v>
      </c>
      <c r="Y277" s="18" t="s">
        <v>5162</v>
      </c>
      <c r="Z277" s="18" t="s">
        <v>106</v>
      </c>
      <c r="AA277" s="18" t="s">
        <v>5267</v>
      </c>
      <c r="AC277" s="18" t="s">
        <v>5127</v>
      </c>
      <c r="AD277" s="18" t="s">
        <v>5127</v>
      </c>
      <c r="AE277" s="18" t="s">
        <v>5127</v>
      </c>
      <c r="AF277" s="18" t="s">
        <v>5127</v>
      </c>
      <c r="AG277" s="18" t="s">
        <v>5127</v>
      </c>
      <c r="AH277" s="18" t="s">
        <v>5127</v>
      </c>
      <c r="AI277" s="18">
        <v>1</v>
      </c>
      <c r="AK277" s="18" t="s">
        <v>5164</v>
      </c>
      <c r="AN277" s="18">
        <v>1196</v>
      </c>
      <c r="AO277" s="18" t="s">
        <v>5165</v>
      </c>
      <c r="AP277" s="18" t="s">
        <v>6127</v>
      </c>
      <c r="AQ277" s="18" t="s">
        <v>5719</v>
      </c>
      <c r="AR277" s="18" t="s">
        <v>5168</v>
      </c>
      <c r="AT277" s="17">
        <f>(365*D277*0.7)/1000</f>
        <v>147504.74900000001</v>
      </c>
      <c r="AU277" s="17">
        <f t="shared" si="12"/>
        <v>249</v>
      </c>
      <c r="AV277" s="18">
        <v>249</v>
      </c>
      <c r="AW277" s="18">
        <v>0</v>
      </c>
      <c r="AY277" s="18" t="s">
        <v>5526</v>
      </c>
      <c r="AZ277" s="18">
        <v>80</v>
      </c>
      <c r="BA277" s="18">
        <v>10</v>
      </c>
      <c r="BB277" s="18">
        <v>50</v>
      </c>
      <c r="BD277" s="18">
        <f>8000/1000</f>
        <v>8</v>
      </c>
      <c r="BG277" s="18" t="s">
        <v>5426</v>
      </c>
      <c r="BQ277" s="18">
        <v>80</v>
      </c>
      <c r="BR277" s="18">
        <v>42</v>
      </c>
      <c r="BS277" s="18">
        <v>18</v>
      </c>
      <c r="BT277" s="18">
        <v>797</v>
      </c>
      <c r="BU277" s="18">
        <v>10</v>
      </c>
      <c r="BV277" s="18">
        <f t="shared" si="14"/>
        <v>947</v>
      </c>
      <c r="BW277" s="15">
        <f t="shared" si="13"/>
        <v>947</v>
      </c>
      <c r="BY277" s="18" t="s">
        <v>5134</v>
      </c>
      <c r="BZ277" s="18" t="s">
        <v>5395</v>
      </c>
      <c r="CD277" s="18" t="s">
        <v>5127</v>
      </c>
      <c r="CE277" s="18" t="s">
        <v>5127</v>
      </c>
      <c r="CF277" s="18" t="s">
        <v>5135</v>
      </c>
      <c r="CG277" s="18" t="s">
        <v>5193</v>
      </c>
      <c r="CH277" s="18" t="s">
        <v>111</v>
      </c>
      <c r="CI277" s="18" t="s">
        <v>5195</v>
      </c>
      <c r="CJ277" s="18" t="s">
        <v>5196</v>
      </c>
      <c r="CK277" s="18" t="s">
        <v>5341</v>
      </c>
      <c r="CL277" s="18">
        <v>1</v>
      </c>
      <c r="CM277" s="18">
        <v>0</v>
      </c>
      <c r="CN277" s="18">
        <v>0</v>
      </c>
      <c r="CO277" s="18">
        <v>1</v>
      </c>
      <c r="CP277" s="18">
        <v>1</v>
      </c>
      <c r="CQ277" s="18">
        <v>1</v>
      </c>
      <c r="CR277" s="18">
        <v>0</v>
      </c>
      <c r="CS277" s="18">
        <v>1</v>
      </c>
      <c r="CT277" s="18">
        <v>0</v>
      </c>
      <c r="CU277" s="18">
        <v>0</v>
      </c>
      <c r="CV277" s="18">
        <v>0</v>
      </c>
      <c r="CX277" s="18">
        <v>1</v>
      </c>
      <c r="CY277" s="18">
        <v>1</v>
      </c>
      <c r="CZ277" s="18">
        <v>0</v>
      </c>
      <c r="DA277" s="18">
        <v>0</v>
      </c>
      <c r="DB277" s="18">
        <v>1</v>
      </c>
      <c r="DC277" s="18">
        <v>1</v>
      </c>
      <c r="DD277" s="18">
        <v>1</v>
      </c>
      <c r="DE277" s="18">
        <v>0</v>
      </c>
      <c r="DF277" s="18">
        <v>1</v>
      </c>
      <c r="DG277" s="18">
        <v>0</v>
      </c>
      <c r="DH277" s="18">
        <v>0</v>
      </c>
      <c r="DI277" s="18">
        <v>0</v>
      </c>
      <c r="DK277" s="18">
        <v>0</v>
      </c>
      <c r="DL277" s="18">
        <v>0</v>
      </c>
      <c r="DM277" s="18" t="s">
        <v>5127</v>
      </c>
      <c r="DN277" s="18" t="s">
        <v>5716</v>
      </c>
      <c r="DO277" s="18" t="s">
        <v>5315</v>
      </c>
      <c r="DP277" s="18" t="s">
        <v>113</v>
      </c>
      <c r="DQ277" s="18" t="s">
        <v>5168</v>
      </c>
      <c r="DS277" s="18">
        <v>0</v>
      </c>
      <c r="DT277" s="18">
        <v>1</v>
      </c>
      <c r="DU277" s="18" t="s">
        <v>5358</v>
      </c>
      <c r="DV277" s="18" t="s">
        <v>5958</v>
      </c>
      <c r="DX277" s="18" t="s">
        <v>5222</v>
      </c>
      <c r="DY277" s="18" t="s">
        <v>106</v>
      </c>
      <c r="DZ277" s="18" t="s">
        <v>113</v>
      </c>
      <c r="EA277" s="18" t="s">
        <v>6128</v>
      </c>
      <c r="EB277" s="18">
        <v>947</v>
      </c>
      <c r="EC277" s="18" t="s">
        <v>106</v>
      </c>
      <c r="ED277" s="18" t="s">
        <v>5147</v>
      </c>
      <c r="EE277" s="18" t="s">
        <v>106</v>
      </c>
      <c r="EF277" s="18" t="s">
        <v>113</v>
      </c>
      <c r="EG277" s="18" t="s">
        <v>6129</v>
      </c>
      <c r="EH277" s="18" t="s">
        <v>5203</v>
      </c>
      <c r="EI277" s="18" t="s">
        <v>5204</v>
      </c>
      <c r="EJ277" s="18" t="s">
        <v>5327</v>
      </c>
      <c r="EK277" s="18" t="s">
        <v>5362</v>
      </c>
      <c r="EN277" s="18" t="s">
        <v>113</v>
      </c>
      <c r="EO277" s="18" t="s">
        <v>106</v>
      </c>
      <c r="EP277" s="18" t="s">
        <v>106</v>
      </c>
      <c r="EQ277" s="18" t="s">
        <v>106</v>
      </c>
      <c r="ER277" s="18" t="s">
        <v>5152</v>
      </c>
      <c r="ES277" s="18" t="s">
        <v>5153</v>
      </c>
      <c r="ET277" s="18" t="s">
        <v>5154</v>
      </c>
      <c r="EU277" s="18" t="s">
        <v>5318</v>
      </c>
      <c r="EV277" s="18" t="s">
        <v>5319</v>
      </c>
      <c r="EW277" s="18" t="s">
        <v>5247</v>
      </c>
      <c r="EX277" s="18" t="s">
        <v>5158</v>
      </c>
      <c r="EY277" s="18" t="s">
        <v>6060</v>
      </c>
      <c r="EZ277" s="18" t="s">
        <v>5182</v>
      </c>
      <c r="FA277" s="18" t="s">
        <v>144</v>
      </c>
      <c r="FB277" s="18" t="s">
        <v>5161</v>
      </c>
    </row>
    <row r="278" spans="1:158" ht="10.5" customHeight="1" x14ac:dyDescent="0.2">
      <c r="A278" s="16">
        <v>41</v>
      </c>
      <c r="B278" s="16" t="s">
        <v>2574</v>
      </c>
      <c r="C278" s="16" t="s">
        <v>1338</v>
      </c>
      <c r="D278" s="16">
        <v>577318</v>
      </c>
      <c r="E278" s="16" t="s">
        <v>6660</v>
      </c>
      <c r="F278" s="18" t="s">
        <v>1338</v>
      </c>
      <c r="G278" s="18" t="s">
        <v>106</v>
      </c>
      <c r="H278" s="15" t="s">
        <v>5127</v>
      </c>
      <c r="I278" s="18">
        <v>28</v>
      </c>
      <c r="J278" s="18">
        <v>14</v>
      </c>
      <c r="K278" s="18">
        <v>14</v>
      </c>
      <c r="L278" s="18">
        <v>0</v>
      </c>
      <c r="M278" s="18" t="s">
        <v>5121</v>
      </c>
      <c r="N278" s="18" t="s">
        <v>6130</v>
      </c>
      <c r="O278" s="18">
        <v>46475</v>
      </c>
      <c r="T278" s="18" t="s">
        <v>111</v>
      </c>
      <c r="U278" s="18" t="s">
        <v>5185</v>
      </c>
      <c r="V278" s="18" t="s">
        <v>106</v>
      </c>
      <c r="W278" s="18" t="s">
        <v>5124</v>
      </c>
      <c r="Y278" s="18" t="s">
        <v>5232</v>
      </c>
      <c r="Z278" s="18" t="s">
        <v>106</v>
      </c>
      <c r="AA278" s="18" t="s">
        <v>5267</v>
      </c>
      <c r="AC278" s="18" t="s">
        <v>5127</v>
      </c>
      <c r="AD278" s="18" t="s">
        <v>5127</v>
      </c>
      <c r="AE278" s="18" t="s">
        <v>5127</v>
      </c>
      <c r="AF278" s="18" t="s">
        <v>111</v>
      </c>
      <c r="AG278" s="18" t="s">
        <v>5127</v>
      </c>
      <c r="AH278" s="18" t="s">
        <v>5127</v>
      </c>
      <c r="AI278" s="18">
        <v>1</v>
      </c>
      <c r="AK278" s="18" t="s">
        <v>5164</v>
      </c>
      <c r="AN278" s="18">
        <v>1291</v>
      </c>
      <c r="AO278" s="18" t="s">
        <v>5186</v>
      </c>
      <c r="AP278" s="18" t="s">
        <v>6131</v>
      </c>
      <c r="AQ278" s="18" t="s">
        <v>5826</v>
      </c>
      <c r="AR278" s="18" t="s">
        <v>5168</v>
      </c>
      <c r="AT278" s="17">
        <f>(365*D278*0.7)/1000</f>
        <v>147504.74900000001</v>
      </c>
      <c r="AU278" s="17">
        <f t="shared" si="12"/>
        <v>319</v>
      </c>
      <c r="AV278" s="18">
        <v>319</v>
      </c>
      <c r="AW278" s="18">
        <v>0</v>
      </c>
      <c r="AY278" s="18" t="s">
        <v>164</v>
      </c>
      <c r="BD278" s="18">
        <f>1000/1000</f>
        <v>1</v>
      </c>
      <c r="BG278" s="18" t="s">
        <v>5169</v>
      </c>
      <c r="BH278" s="18">
        <f>500/1000</f>
        <v>0.5</v>
      </c>
      <c r="BI278" s="18">
        <f>7000/1000</f>
        <v>7</v>
      </c>
      <c r="BJ278" s="18">
        <f>4000/1000</f>
        <v>4</v>
      </c>
      <c r="BQ278" s="18">
        <v>60</v>
      </c>
      <c r="BR278" s="18">
        <v>54</v>
      </c>
      <c r="BS278" s="18">
        <v>0</v>
      </c>
      <c r="BT278" s="18">
        <v>375</v>
      </c>
      <c r="BU278" s="18">
        <v>0</v>
      </c>
      <c r="BV278" s="18">
        <f t="shared" si="14"/>
        <v>489</v>
      </c>
      <c r="BW278" s="15">
        <f t="shared" si="13"/>
        <v>489</v>
      </c>
      <c r="BY278" s="18" t="s">
        <v>5134</v>
      </c>
      <c r="BZ278" s="18" t="s">
        <v>5192</v>
      </c>
      <c r="CD278" s="18" t="s">
        <v>5127</v>
      </c>
      <c r="CE278" s="18" t="s">
        <v>111</v>
      </c>
      <c r="CF278" s="18" t="s">
        <v>5529</v>
      </c>
      <c r="CG278" s="18" t="s">
        <v>5193</v>
      </c>
      <c r="CH278" s="18" t="s">
        <v>5241</v>
      </c>
      <c r="CI278" s="18" t="s">
        <v>5195</v>
      </c>
      <c r="CJ278" s="18" t="s">
        <v>5196</v>
      </c>
      <c r="CK278" s="18" t="s">
        <v>5197</v>
      </c>
      <c r="CL278" s="18">
        <v>1</v>
      </c>
      <c r="CM278" s="18">
        <v>0</v>
      </c>
      <c r="CN278" s="18">
        <v>0</v>
      </c>
      <c r="CO278" s="18">
        <v>0</v>
      </c>
      <c r="CP278" s="18">
        <v>1</v>
      </c>
      <c r="CQ278" s="18">
        <v>1</v>
      </c>
      <c r="CR278" s="18">
        <v>0</v>
      </c>
      <c r="CS278" s="18" t="s">
        <v>5141</v>
      </c>
      <c r="CT278" s="18">
        <v>0</v>
      </c>
      <c r="CU278" s="18">
        <v>0</v>
      </c>
      <c r="CV278" s="18">
        <v>0</v>
      </c>
      <c r="CX278" s="18">
        <v>0</v>
      </c>
      <c r="CY278" s="18">
        <v>1</v>
      </c>
      <c r="CZ278" s="18">
        <v>0</v>
      </c>
      <c r="DA278" s="18">
        <v>0</v>
      </c>
      <c r="DB278" s="18">
        <v>1</v>
      </c>
      <c r="DC278" s="18">
        <v>2</v>
      </c>
      <c r="DD278" s="18">
        <v>0</v>
      </c>
      <c r="DE278" s="18">
        <v>0</v>
      </c>
      <c r="DF278" s="18">
        <v>0</v>
      </c>
      <c r="DG278" s="18">
        <v>0</v>
      </c>
      <c r="DH278" s="18">
        <v>1</v>
      </c>
      <c r="DI278" s="18">
        <v>0</v>
      </c>
      <c r="DK278" s="18">
        <v>0</v>
      </c>
      <c r="DL278" s="18">
        <v>0</v>
      </c>
      <c r="DM278" s="18" t="s">
        <v>5127</v>
      </c>
      <c r="DN278" s="18" t="s">
        <v>5172</v>
      </c>
      <c r="DO278" s="18" t="s">
        <v>6132</v>
      </c>
      <c r="DP278" s="18" t="s">
        <v>113</v>
      </c>
      <c r="DS278" s="18">
        <v>0</v>
      </c>
      <c r="DT278" s="18">
        <v>1</v>
      </c>
      <c r="DU278" s="18">
        <v>1</v>
      </c>
      <c r="DV278" s="18" t="s">
        <v>5144</v>
      </c>
      <c r="DX278" s="18" t="s">
        <v>5222</v>
      </c>
      <c r="DY278" s="18" t="s">
        <v>106</v>
      </c>
      <c r="DZ278" s="18" t="s">
        <v>113</v>
      </c>
      <c r="EA278" s="18" t="s">
        <v>5261</v>
      </c>
      <c r="EB278" s="18">
        <v>972</v>
      </c>
      <c r="EC278" s="18" t="s">
        <v>106</v>
      </c>
      <c r="ED278" s="18" t="s">
        <v>5176</v>
      </c>
      <c r="EE278" s="18" t="s">
        <v>106</v>
      </c>
      <c r="EF278" s="18" t="s">
        <v>113</v>
      </c>
      <c r="EG278" s="18" t="s">
        <v>5148</v>
      </c>
      <c r="EH278" s="18" t="s">
        <v>5203</v>
      </c>
      <c r="EI278" s="18" t="s">
        <v>5204</v>
      </c>
      <c r="EJ278" s="18" t="s">
        <v>5245</v>
      </c>
      <c r="EN278" s="18" t="s">
        <v>113</v>
      </c>
      <c r="EO278" s="18" t="s">
        <v>113</v>
      </c>
      <c r="EP278" s="18" t="s">
        <v>113</v>
      </c>
      <c r="EQ278" s="18" t="s">
        <v>106</v>
      </c>
      <c r="ER278" s="18" t="s">
        <v>5206</v>
      </c>
      <c r="ES278" s="18" t="s">
        <v>5153</v>
      </c>
      <c r="ET278" s="18" t="s">
        <v>5154</v>
      </c>
      <c r="EU278" s="18" t="s">
        <v>5318</v>
      </c>
      <c r="EV278" s="18" t="s">
        <v>5708</v>
      </c>
      <c r="EW278" s="18" t="s">
        <v>6133</v>
      </c>
      <c r="EX278" s="18" t="s">
        <v>5158</v>
      </c>
      <c r="EY278" s="18" t="s">
        <v>5248</v>
      </c>
      <c r="EZ278" s="18" t="s">
        <v>5182</v>
      </c>
      <c r="FA278" s="18" t="s">
        <v>144</v>
      </c>
      <c r="FB278" s="18" t="s">
        <v>5161</v>
      </c>
    </row>
    <row r="279" spans="1:158" ht="10.5" customHeight="1" x14ac:dyDescent="0.2">
      <c r="A279" s="16">
        <v>41</v>
      </c>
      <c r="B279" s="16" t="s">
        <v>2574</v>
      </c>
      <c r="C279" s="16" t="s">
        <v>1338</v>
      </c>
      <c r="D279" s="16">
        <v>577318</v>
      </c>
      <c r="E279" s="16" t="s">
        <v>6660</v>
      </c>
      <c r="F279" s="18" t="s">
        <v>1338</v>
      </c>
      <c r="G279" s="18" t="s">
        <v>106</v>
      </c>
      <c r="H279" s="15" t="s">
        <v>5127</v>
      </c>
      <c r="I279" s="18">
        <v>10</v>
      </c>
      <c r="J279" s="18">
        <v>3</v>
      </c>
      <c r="K279" s="18">
        <v>7</v>
      </c>
      <c r="M279" s="18" t="s">
        <v>5183</v>
      </c>
      <c r="N279" s="18" t="s">
        <v>6134</v>
      </c>
      <c r="O279" s="18">
        <v>46530</v>
      </c>
      <c r="T279" s="18" t="s">
        <v>6135</v>
      </c>
      <c r="U279" s="18" t="s">
        <v>5123</v>
      </c>
      <c r="V279" s="18" t="s">
        <v>106</v>
      </c>
      <c r="W279" s="18" t="s">
        <v>5124</v>
      </c>
      <c r="Y279" s="18" t="s">
        <v>5162</v>
      </c>
      <c r="Z279" s="18" t="s">
        <v>106</v>
      </c>
      <c r="AA279" s="18" t="s">
        <v>5267</v>
      </c>
      <c r="AC279" s="18" t="s">
        <v>5127</v>
      </c>
      <c r="AD279" s="18" t="s">
        <v>5127</v>
      </c>
      <c r="AE279" s="18" t="s">
        <v>5127</v>
      </c>
      <c r="AF279" s="18" t="s">
        <v>5127</v>
      </c>
      <c r="AG279" s="18" t="s">
        <v>5127</v>
      </c>
      <c r="AH279" s="18" t="s">
        <v>5127</v>
      </c>
      <c r="AI279" s="18">
        <v>2</v>
      </c>
      <c r="AK279" s="18" t="s">
        <v>5164</v>
      </c>
      <c r="AN279" s="18">
        <v>3378887</v>
      </c>
      <c r="AO279" s="18" t="s">
        <v>5186</v>
      </c>
      <c r="AP279" s="18" t="s">
        <v>6136</v>
      </c>
      <c r="AQ279" s="18" t="s">
        <v>6088</v>
      </c>
      <c r="AR279" s="18" t="s">
        <v>5168</v>
      </c>
      <c r="AT279" s="17">
        <f>(365*D279*0.7)/1000</f>
        <v>147504.74900000001</v>
      </c>
      <c r="AU279" s="17">
        <f t="shared" si="12"/>
        <v>1424</v>
      </c>
      <c r="AV279" s="18">
        <v>1424</v>
      </c>
      <c r="AW279" s="18">
        <v>0</v>
      </c>
      <c r="AY279" s="18" t="s">
        <v>6137</v>
      </c>
      <c r="BG279" s="18" t="s">
        <v>5527</v>
      </c>
      <c r="BQ279" s="18">
        <f>854020/1000</f>
        <v>854.02</v>
      </c>
      <c r="BR279" s="18">
        <f>536790/1000</f>
        <v>536.79</v>
      </c>
      <c r="BS279" s="18">
        <v>0</v>
      </c>
      <c r="BT279" s="18">
        <f>1715060/1000</f>
        <v>1715.06</v>
      </c>
      <c r="BU279" s="18">
        <f>162630/1000</f>
        <v>162.63</v>
      </c>
      <c r="BV279" s="18">
        <f t="shared" si="14"/>
        <v>3268.5</v>
      </c>
      <c r="BW279" s="15">
        <f t="shared" si="13"/>
        <v>3268.5</v>
      </c>
      <c r="BY279" s="18" t="s">
        <v>6138</v>
      </c>
      <c r="BZ279" s="18" t="s">
        <v>5192</v>
      </c>
      <c r="CD279" s="18" t="s">
        <v>5127</v>
      </c>
      <c r="CE279" s="18" t="s">
        <v>5127</v>
      </c>
      <c r="CF279" s="18" t="s">
        <v>5282</v>
      </c>
      <c r="CG279" s="18" t="s">
        <v>5193</v>
      </c>
      <c r="CH279" s="18" t="s">
        <v>5194</v>
      </c>
      <c r="CI279" s="18" t="s">
        <v>5195</v>
      </c>
      <c r="CJ279" s="18" t="s">
        <v>5196</v>
      </c>
      <c r="CK279" s="18" t="s">
        <v>5341</v>
      </c>
      <c r="CL279" s="18">
        <v>3</v>
      </c>
      <c r="CM279" s="18">
        <v>0</v>
      </c>
      <c r="CN279" s="18">
        <v>1</v>
      </c>
      <c r="CO279" s="18">
        <v>1</v>
      </c>
      <c r="CP279" s="18" t="s">
        <v>5887</v>
      </c>
      <c r="CQ279" s="18">
        <v>1</v>
      </c>
      <c r="CR279" s="18">
        <v>0</v>
      </c>
      <c r="CS279" s="18" t="s">
        <v>5141</v>
      </c>
      <c r="CT279" s="18">
        <v>0</v>
      </c>
      <c r="CU279" s="18">
        <v>0</v>
      </c>
      <c r="CV279" s="18" t="s">
        <v>5141</v>
      </c>
      <c r="CX279" s="18">
        <v>2</v>
      </c>
      <c r="CY279" s="18">
        <v>2</v>
      </c>
      <c r="CZ279" s="18">
        <v>2</v>
      </c>
      <c r="DA279" s="18">
        <v>1</v>
      </c>
      <c r="DB279" s="18">
        <v>1</v>
      </c>
      <c r="DC279" s="18">
        <v>2</v>
      </c>
      <c r="DD279" s="18">
        <v>1</v>
      </c>
      <c r="DE279" s="18">
        <v>0</v>
      </c>
      <c r="DF279" s="18" t="s">
        <v>5141</v>
      </c>
      <c r="DG279" s="18">
        <v>1</v>
      </c>
      <c r="DH279" s="18" t="s">
        <v>5141</v>
      </c>
      <c r="DI279" s="18" t="s">
        <v>5141</v>
      </c>
      <c r="DK279" s="18">
        <v>0</v>
      </c>
      <c r="DL279" s="18">
        <v>1</v>
      </c>
      <c r="DM279" s="18" t="s">
        <v>5127</v>
      </c>
      <c r="DN279" s="18" t="s">
        <v>5258</v>
      </c>
      <c r="DO279" s="18" t="s">
        <v>5315</v>
      </c>
      <c r="DP279" s="18" t="s">
        <v>113</v>
      </c>
      <c r="DQ279" s="18" t="s">
        <v>5168</v>
      </c>
      <c r="DS279" s="18">
        <v>0</v>
      </c>
      <c r="DT279" s="18">
        <v>0</v>
      </c>
      <c r="DU279" s="18">
        <v>2</v>
      </c>
      <c r="DV279" s="18" t="s">
        <v>5444</v>
      </c>
      <c r="DX279" s="18" t="s">
        <v>5201</v>
      </c>
      <c r="DY279" s="18" t="s">
        <v>106</v>
      </c>
      <c r="DZ279" s="18" t="s">
        <v>113</v>
      </c>
      <c r="EA279" s="18" t="s">
        <v>5453</v>
      </c>
      <c r="EB279" s="18">
        <v>3180620</v>
      </c>
      <c r="EC279" s="18" t="s">
        <v>106</v>
      </c>
      <c r="ED279" s="18" t="s">
        <v>5176</v>
      </c>
      <c r="EE279" s="18" t="s">
        <v>106</v>
      </c>
      <c r="EF279" s="18" t="s">
        <v>113</v>
      </c>
      <c r="EG279" s="18" t="s">
        <v>5148</v>
      </c>
      <c r="EH279" s="18" t="s">
        <v>5203</v>
      </c>
      <c r="EI279" s="18" t="s">
        <v>5204</v>
      </c>
      <c r="EJ279" s="18" t="s">
        <v>5245</v>
      </c>
      <c r="EK279" s="18" t="s">
        <v>113</v>
      </c>
      <c r="EN279" s="18" t="s">
        <v>113</v>
      </c>
      <c r="EO279" s="18" t="s">
        <v>113</v>
      </c>
      <c r="EP279" s="18" t="s">
        <v>113</v>
      </c>
      <c r="EQ279" s="18" t="s">
        <v>113</v>
      </c>
      <c r="ER279" s="18" t="s">
        <v>5206</v>
      </c>
      <c r="ES279" s="18" t="s">
        <v>5153</v>
      </c>
      <c r="ET279" s="18" t="s">
        <v>5154</v>
      </c>
      <c r="EU279" s="18" t="s">
        <v>5289</v>
      </c>
      <c r="EV279" s="18" t="s">
        <v>6139</v>
      </c>
      <c r="EW279" s="18" t="s">
        <v>5247</v>
      </c>
      <c r="EX279" s="18" t="s">
        <v>5158</v>
      </c>
      <c r="EY279" s="18" t="s">
        <v>6140</v>
      </c>
      <c r="EZ279" s="18" t="s">
        <v>5182</v>
      </c>
      <c r="FA279" s="18" t="s">
        <v>144</v>
      </c>
      <c r="FB279" s="18" t="s">
        <v>5161</v>
      </c>
    </row>
    <row r="280" spans="1:158" ht="10.5" customHeight="1" x14ac:dyDescent="0.2">
      <c r="A280" s="16">
        <v>41</v>
      </c>
      <c r="B280" s="16" t="s">
        <v>2598</v>
      </c>
      <c r="C280" s="16" t="s">
        <v>2597</v>
      </c>
      <c r="D280" s="16">
        <v>6696</v>
      </c>
      <c r="E280" s="16" t="s">
        <v>6656</v>
      </c>
      <c r="F280" s="18" t="s">
        <v>2597</v>
      </c>
      <c r="G280" s="18" t="s">
        <v>113</v>
      </c>
      <c r="H280" s="15" t="s">
        <v>111</v>
      </c>
      <c r="AT280" s="17">
        <f>(365*D280*0.7)/1000</f>
        <v>1710.828</v>
      </c>
      <c r="AU280" s="17">
        <f t="shared" si="12"/>
        <v>0</v>
      </c>
      <c r="BW280" s="15">
        <f t="shared" si="13"/>
        <v>0</v>
      </c>
    </row>
    <row r="281" spans="1:158" ht="10.5" customHeight="1" x14ac:dyDescent="0.2">
      <c r="A281" s="16">
        <v>41</v>
      </c>
      <c r="B281" s="16" t="s">
        <v>2613</v>
      </c>
      <c r="C281" s="16" t="s">
        <v>2612</v>
      </c>
      <c r="D281" s="16">
        <v>4902</v>
      </c>
      <c r="E281" s="16" t="s">
        <v>6656</v>
      </c>
      <c r="F281" s="18" t="s">
        <v>2612</v>
      </c>
      <c r="G281" s="18" t="s">
        <v>106</v>
      </c>
      <c r="H281" s="15" t="s">
        <v>5127</v>
      </c>
      <c r="I281" s="18" t="s">
        <v>1024</v>
      </c>
      <c r="J281" s="18">
        <v>5</v>
      </c>
      <c r="K281" s="18">
        <v>2</v>
      </c>
      <c r="L281" s="18">
        <v>0</v>
      </c>
      <c r="M281" s="18" t="s">
        <v>5183</v>
      </c>
      <c r="N281" s="18" t="s">
        <v>6141</v>
      </c>
      <c r="O281" s="18">
        <v>45950</v>
      </c>
      <c r="T281" s="18" t="s">
        <v>111</v>
      </c>
      <c r="U281" s="18" t="s">
        <v>5250</v>
      </c>
      <c r="V281" s="18" t="s">
        <v>113</v>
      </c>
      <c r="W281" s="18" t="s">
        <v>5124</v>
      </c>
      <c r="Y281" s="18" t="s">
        <v>5162</v>
      </c>
      <c r="Z281" s="18" t="s">
        <v>106</v>
      </c>
      <c r="AA281" s="18" t="s">
        <v>5267</v>
      </c>
      <c r="AB281" s="18" t="s">
        <v>179</v>
      </c>
      <c r="AC281" s="18" t="s">
        <v>111</v>
      </c>
      <c r="AD281" s="18" t="s">
        <v>111</v>
      </c>
      <c r="AE281" s="18" t="s">
        <v>111</v>
      </c>
      <c r="AF281" s="18" t="s">
        <v>111</v>
      </c>
      <c r="AG281" s="18" t="s">
        <v>5127</v>
      </c>
      <c r="AH281" s="18" t="s">
        <v>111</v>
      </c>
      <c r="AI281" s="18">
        <v>1</v>
      </c>
      <c r="AK281" s="18" t="s">
        <v>5164</v>
      </c>
      <c r="AN281" s="18">
        <v>0</v>
      </c>
      <c r="AO281" s="18" t="s">
        <v>5186</v>
      </c>
      <c r="AP281" s="18" t="s">
        <v>6142</v>
      </c>
      <c r="AQ281" s="18" t="s">
        <v>5393</v>
      </c>
      <c r="AR281" s="18" t="s">
        <v>5168</v>
      </c>
      <c r="AT281" s="17">
        <f>(365*D281*0.7)/1000</f>
        <v>1252.461</v>
      </c>
      <c r="AU281" s="17">
        <f t="shared" si="12"/>
        <v>0</v>
      </c>
      <c r="AV281" s="18">
        <v>0</v>
      </c>
      <c r="AW281" s="18">
        <v>0</v>
      </c>
      <c r="AY281" s="18" t="s">
        <v>439</v>
      </c>
      <c r="AZ281" s="18">
        <v>0</v>
      </c>
      <c r="BA281" s="18">
        <v>0</v>
      </c>
      <c r="BB281" s="18">
        <v>0</v>
      </c>
      <c r="BD281" s="18">
        <f>2000/1000</f>
        <v>2</v>
      </c>
      <c r="BE281" s="18">
        <v>0</v>
      </c>
      <c r="BG281" s="18" t="s">
        <v>5281</v>
      </c>
      <c r="BH281" s="18">
        <v>0</v>
      </c>
      <c r="BI281" s="18">
        <v>0</v>
      </c>
      <c r="BJ281" s="18">
        <v>0</v>
      </c>
      <c r="BQ281" s="18">
        <f>58025/1000</f>
        <v>58.024999999999999</v>
      </c>
      <c r="BR281" s="18">
        <f>20000/1000</f>
        <v>20</v>
      </c>
      <c r="BS281" s="18">
        <f>24000/1000</f>
        <v>24</v>
      </c>
      <c r="BT281" s="18">
        <f>12000/1000</f>
        <v>12</v>
      </c>
      <c r="BU281" s="18">
        <f>18000/1000</f>
        <v>18</v>
      </c>
      <c r="BV281" s="18">
        <v>132</v>
      </c>
      <c r="BW281" s="15">
        <f t="shared" si="13"/>
        <v>132.02500000000001</v>
      </c>
      <c r="BY281" s="18" t="s">
        <v>5134</v>
      </c>
      <c r="BZ281" s="18" t="s">
        <v>5312</v>
      </c>
      <c r="CD281" s="18" t="s">
        <v>5127</v>
      </c>
      <c r="CE281" s="18" t="s">
        <v>111</v>
      </c>
      <c r="CF281" s="18" t="s">
        <v>5135</v>
      </c>
      <c r="CG281" s="18" t="s">
        <v>6143</v>
      </c>
      <c r="CH281" s="18" t="s">
        <v>5241</v>
      </c>
      <c r="CI281" s="18" t="s">
        <v>111</v>
      </c>
      <c r="CJ281" s="18" t="s">
        <v>5139</v>
      </c>
      <c r="CK281" s="18" t="s">
        <v>5197</v>
      </c>
      <c r="CL281" s="18">
        <v>1</v>
      </c>
      <c r="CM281" s="18">
        <v>0</v>
      </c>
      <c r="CN281" s="18">
        <v>0</v>
      </c>
      <c r="CO281" s="18">
        <v>1</v>
      </c>
      <c r="CP281" s="18">
        <v>1</v>
      </c>
      <c r="CQ281" s="18">
        <v>1</v>
      </c>
      <c r="CR281" s="18">
        <v>0</v>
      </c>
      <c r="CS281" s="18">
        <v>1</v>
      </c>
      <c r="CT281" s="18">
        <v>1</v>
      </c>
      <c r="CU281" s="18">
        <v>0</v>
      </c>
      <c r="CV281" s="18">
        <v>1</v>
      </c>
      <c r="CX281" s="18">
        <v>1</v>
      </c>
      <c r="CY281" s="18">
        <v>1</v>
      </c>
      <c r="CZ281" s="18">
        <v>1</v>
      </c>
      <c r="DA281" s="18">
        <v>1</v>
      </c>
      <c r="DB281" s="18">
        <v>1</v>
      </c>
      <c r="DC281" s="18">
        <v>1</v>
      </c>
      <c r="DD281" s="18">
        <v>1</v>
      </c>
      <c r="DE281" s="18">
        <v>1</v>
      </c>
      <c r="DF281" s="18">
        <v>1</v>
      </c>
      <c r="DG281" s="18">
        <v>1</v>
      </c>
      <c r="DH281" s="18">
        <v>1</v>
      </c>
      <c r="DI281" s="18">
        <v>1</v>
      </c>
      <c r="DK281" s="18">
        <v>0</v>
      </c>
      <c r="DL281" s="18">
        <v>1</v>
      </c>
      <c r="DM281" s="18" t="s">
        <v>5127</v>
      </c>
      <c r="DN281" s="18" t="s">
        <v>5258</v>
      </c>
      <c r="DO281" s="18" t="s">
        <v>5143</v>
      </c>
      <c r="DP281" s="18" t="s">
        <v>113</v>
      </c>
      <c r="DS281" s="18">
        <v>0</v>
      </c>
      <c r="DT281" s="18">
        <v>0</v>
      </c>
      <c r="DU281" s="18">
        <v>1</v>
      </c>
      <c r="DV281" s="18" t="s">
        <v>5144</v>
      </c>
      <c r="DX281" s="18" t="s">
        <v>5222</v>
      </c>
      <c r="DY281" s="18" t="s">
        <v>106</v>
      </c>
      <c r="DZ281" s="18" t="s">
        <v>113</v>
      </c>
      <c r="EA281" s="18" t="s">
        <v>5285</v>
      </c>
      <c r="EB281" s="18">
        <v>137</v>
      </c>
      <c r="EC281" s="18" t="s">
        <v>113</v>
      </c>
      <c r="ED281" s="18" t="s">
        <v>5147</v>
      </c>
      <c r="EE281" s="18" t="s">
        <v>113</v>
      </c>
      <c r="EF281" s="18" t="s">
        <v>113</v>
      </c>
      <c r="EG281" s="18" t="s">
        <v>5148</v>
      </c>
      <c r="EH281" s="18" t="s">
        <v>5203</v>
      </c>
      <c r="EI281" s="18" t="s">
        <v>5150</v>
      </c>
      <c r="EJ281" s="18" t="s">
        <v>5361</v>
      </c>
      <c r="EK281" s="18" t="s">
        <v>113</v>
      </c>
      <c r="EN281" s="18" t="s">
        <v>113</v>
      </c>
      <c r="EO281" s="18" t="s">
        <v>113</v>
      </c>
      <c r="EP281" s="18" t="s">
        <v>113</v>
      </c>
      <c r="EQ281" s="18" t="s">
        <v>113</v>
      </c>
      <c r="ER281" s="18" t="s">
        <v>5206</v>
      </c>
      <c r="ES281" s="18" t="s">
        <v>5153</v>
      </c>
      <c r="ET281" s="18" t="s">
        <v>5154</v>
      </c>
      <c r="EU281" s="18" t="s">
        <v>5318</v>
      </c>
      <c r="EV281" s="18" t="s">
        <v>5372</v>
      </c>
      <c r="EW281" s="18" t="s">
        <v>5320</v>
      </c>
      <c r="EX281" s="18" t="s">
        <v>5158</v>
      </c>
      <c r="EY281" s="18" t="s">
        <v>5181</v>
      </c>
      <c r="EZ281" s="18" t="s">
        <v>5160</v>
      </c>
      <c r="FA281" s="18" t="s">
        <v>144</v>
      </c>
      <c r="FB281" s="18" t="s">
        <v>5161</v>
      </c>
    </row>
    <row r="282" spans="1:158" ht="10.5" customHeight="1" x14ac:dyDescent="0.2">
      <c r="A282" s="16">
        <v>41</v>
      </c>
      <c r="B282" s="16" t="s">
        <v>2628</v>
      </c>
      <c r="C282" s="16" t="s">
        <v>2627</v>
      </c>
      <c r="D282" s="16">
        <v>4911</v>
      </c>
      <c r="E282" s="16" t="s">
        <v>6656</v>
      </c>
      <c r="F282" s="18" t="s">
        <v>2627</v>
      </c>
      <c r="G282" s="18" t="s">
        <v>113</v>
      </c>
      <c r="H282" s="15" t="s">
        <v>111</v>
      </c>
      <c r="AT282" s="17">
        <f>(365*D282*0.7)/1000</f>
        <v>1254.7605000000001</v>
      </c>
      <c r="AU282" s="17">
        <f t="shared" si="12"/>
        <v>0</v>
      </c>
      <c r="BW282" s="15">
        <f t="shared" si="13"/>
        <v>0</v>
      </c>
    </row>
    <row r="283" spans="1:158" ht="10.5" customHeight="1" x14ac:dyDescent="0.2">
      <c r="A283" s="16">
        <v>41</v>
      </c>
      <c r="B283" s="16" t="s">
        <v>2640</v>
      </c>
      <c r="C283" s="16" t="s">
        <v>2639</v>
      </c>
      <c r="D283" s="16">
        <v>13655</v>
      </c>
      <c r="E283" s="16" t="s">
        <v>6656</v>
      </c>
      <c r="F283" s="18" t="s">
        <v>2639</v>
      </c>
      <c r="G283" s="18" t="s">
        <v>106</v>
      </c>
      <c r="H283" s="15" t="s">
        <v>5127</v>
      </c>
      <c r="I283" s="18">
        <v>9</v>
      </c>
      <c r="J283" s="18">
        <v>7</v>
      </c>
      <c r="K283" s="18">
        <v>2</v>
      </c>
      <c r="L283" s="18">
        <v>0</v>
      </c>
      <c r="M283" s="18" t="s">
        <v>5183</v>
      </c>
      <c r="N283" s="18" t="s">
        <v>1016</v>
      </c>
      <c r="T283" s="18" t="s">
        <v>111</v>
      </c>
      <c r="U283" s="18" t="s">
        <v>5123</v>
      </c>
      <c r="V283" s="18" t="s">
        <v>113</v>
      </c>
      <c r="W283" s="18" t="s">
        <v>5211</v>
      </c>
      <c r="Y283" s="18" t="s">
        <v>5574</v>
      </c>
      <c r="Z283" s="18" t="s">
        <v>106</v>
      </c>
      <c r="AA283" s="18" t="s">
        <v>5163</v>
      </c>
      <c r="AB283" s="18" t="s">
        <v>5233</v>
      </c>
      <c r="AC283" s="18" t="s">
        <v>5127</v>
      </c>
      <c r="AD283" s="18" t="s">
        <v>5127</v>
      </c>
      <c r="AE283" s="18" t="s">
        <v>111</v>
      </c>
      <c r="AF283" s="18" t="s">
        <v>5127</v>
      </c>
      <c r="AG283" s="18" t="s">
        <v>5127</v>
      </c>
      <c r="AH283" s="18" t="s">
        <v>111</v>
      </c>
      <c r="AI283" s="18">
        <v>1</v>
      </c>
      <c r="AK283" s="18" t="s">
        <v>5164</v>
      </c>
      <c r="AN283" s="18">
        <v>0</v>
      </c>
      <c r="AO283" s="18" t="s">
        <v>5129</v>
      </c>
      <c r="AP283" s="18" t="s">
        <v>6144</v>
      </c>
      <c r="AQ283" s="18" t="s">
        <v>5252</v>
      </c>
      <c r="AR283" s="18" t="s">
        <v>5221</v>
      </c>
      <c r="AT283" s="17">
        <f>(365*D283*0.7)/1000</f>
        <v>3488.8525</v>
      </c>
      <c r="AU283" s="17">
        <f t="shared" si="12"/>
        <v>0</v>
      </c>
      <c r="AV283" s="18">
        <v>0</v>
      </c>
      <c r="AW283" s="18">
        <v>0</v>
      </c>
      <c r="AY283" s="18" t="s">
        <v>5334</v>
      </c>
      <c r="AZ283" s="18">
        <v>0</v>
      </c>
      <c r="BA283" s="18">
        <v>0</v>
      </c>
      <c r="BB283" s="18">
        <v>0</v>
      </c>
      <c r="BG283" s="18" t="s">
        <v>5169</v>
      </c>
      <c r="BQ283" s="18">
        <v>0</v>
      </c>
      <c r="BR283" s="18">
        <v>0</v>
      </c>
      <c r="BS283" s="18">
        <v>0</v>
      </c>
      <c r="BT283" s="18">
        <v>0</v>
      </c>
      <c r="BU283" s="18">
        <v>0</v>
      </c>
      <c r="BV283" s="18">
        <v>0</v>
      </c>
      <c r="BW283" s="15">
        <f t="shared" si="13"/>
        <v>0</v>
      </c>
      <c r="BY283" s="18" t="s">
        <v>5134</v>
      </c>
      <c r="BZ283" s="18" t="s">
        <v>193</v>
      </c>
      <c r="CD283" s="18" t="s">
        <v>5127</v>
      </c>
      <c r="CE283" s="18" t="s">
        <v>5127</v>
      </c>
      <c r="CF283" s="18" t="s">
        <v>5135</v>
      </c>
      <c r="CG283" s="18" t="s">
        <v>6145</v>
      </c>
      <c r="CH283" s="18" t="s">
        <v>111</v>
      </c>
      <c r="CI283" s="18" t="s">
        <v>111</v>
      </c>
      <c r="CJ283" s="18" t="s">
        <v>5139</v>
      </c>
      <c r="CK283" s="18" t="s">
        <v>5256</v>
      </c>
      <c r="CL283" s="18">
        <v>0</v>
      </c>
      <c r="CM283" s="18">
        <v>1</v>
      </c>
      <c r="CN283" s="18">
        <v>0</v>
      </c>
      <c r="CO283" s="18">
        <v>0</v>
      </c>
      <c r="CP283" s="18">
        <v>0</v>
      </c>
      <c r="CQ283" s="18">
        <v>1</v>
      </c>
      <c r="CR283" s="18">
        <v>0</v>
      </c>
      <c r="CS283" s="18">
        <v>0</v>
      </c>
      <c r="CT283" s="18">
        <v>0</v>
      </c>
      <c r="CU283" s="18">
        <v>0</v>
      </c>
      <c r="CV283" s="18">
        <v>2</v>
      </c>
      <c r="CX283" s="18">
        <v>2</v>
      </c>
      <c r="CY283" s="18">
        <v>2</v>
      </c>
      <c r="CZ283" s="18">
        <v>2</v>
      </c>
      <c r="DA283" s="18">
        <v>1</v>
      </c>
      <c r="DB283" s="18">
        <v>1</v>
      </c>
      <c r="DC283" s="18">
        <v>2</v>
      </c>
      <c r="DD283" s="18">
        <v>2</v>
      </c>
      <c r="DE283" s="18">
        <v>4</v>
      </c>
      <c r="DF283" s="18">
        <v>4</v>
      </c>
      <c r="DG283" s="18">
        <v>1</v>
      </c>
      <c r="DH283" s="18">
        <v>2</v>
      </c>
      <c r="DI283" s="18">
        <v>2</v>
      </c>
      <c r="DK283" s="18">
        <v>1</v>
      </c>
      <c r="DL283" s="18">
        <v>1</v>
      </c>
      <c r="DM283" s="18" t="s">
        <v>5127</v>
      </c>
      <c r="DN283" s="18" t="s">
        <v>5172</v>
      </c>
      <c r="DO283" s="18" t="s">
        <v>5259</v>
      </c>
      <c r="DP283" s="18" t="s">
        <v>113</v>
      </c>
      <c r="DS283" s="18">
        <v>0</v>
      </c>
      <c r="DT283" s="18">
        <v>0</v>
      </c>
      <c r="DU283" s="18">
        <v>1</v>
      </c>
      <c r="DV283" s="18" t="s">
        <v>5144</v>
      </c>
      <c r="DX283" s="18" t="s">
        <v>5145</v>
      </c>
      <c r="DY283" s="18" t="s">
        <v>106</v>
      </c>
      <c r="DZ283" s="18" t="s">
        <v>113</v>
      </c>
      <c r="EA283" s="18" t="s">
        <v>5202</v>
      </c>
      <c r="EB283" s="18">
        <v>0</v>
      </c>
      <c r="EC283" s="18" t="s">
        <v>106</v>
      </c>
      <c r="ED283" s="18" t="s">
        <v>5176</v>
      </c>
      <c r="EE283" s="18" t="s">
        <v>106</v>
      </c>
      <c r="EF283" s="18" t="s">
        <v>113</v>
      </c>
      <c r="EG283" s="18" t="s">
        <v>5404</v>
      </c>
      <c r="EH283" s="18" t="s">
        <v>5203</v>
      </c>
      <c r="EI283" s="18" t="s">
        <v>6065</v>
      </c>
      <c r="EJ283" s="18" t="s">
        <v>5422</v>
      </c>
      <c r="EK283" s="18" t="s">
        <v>113</v>
      </c>
      <c r="EN283" s="18" t="s">
        <v>113</v>
      </c>
      <c r="EO283" s="18" t="s">
        <v>113</v>
      </c>
      <c r="EP283" s="18" t="s">
        <v>113</v>
      </c>
      <c r="EQ283" s="18" t="s">
        <v>113</v>
      </c>
      <c r="ER283" s="18" t="s">
        <v>5152</v>
      </c>
      <c r="ES283" s="18" t="s">
        <v>5153</v>
      </c>
      <c r="ET283" s="18" t="s">
        <v>5154</v>
      </c>
      <c r="EU283" s="18" t="s">
        <v>5318</v>
      </c>
      <c r="EV283" s="18" t="s">
        <v>5730</v>
      </c>
      <c r="EW283" s="18" t="s">
        <v>5406</v>
      </c>
      <c r="EX283" s="18" t="s">
        <v>5158</v>
      </c>
      <c r="EY283" s="18" t="s">
        <v>5229</v>
      </c>
      <c r="EZ283" s="18" t="s">
        <v>5160</v>
      </c>
      <c r="FA283" s="18" t="s">
        <v>144</v>
      </c>
      <c r="FB283" s="18" t="s">
        <v>5161</v>
      </c>
    </row>
    <row r="284" spans="1:158" ht="10.5" customHeight="1" x14ac:dyDescent="0.2">
      <c r="A284" s="16">
        <v>41</v>
      </c>
      <c r="B284" s="16" t="s">
        <v>2652</v>
      </c>
      <c r="C284" s="16" t="s">
        <v>2651</v>
      </c>
      <c r="D284" s="16">
        <v>13572</v>
      </c>
      <c r="E284" s="16" t="s">
        <v>6656</v>
      </c>
      <c r="F284" s="18" t="s">
        <v>2651</v>
      </c>
      <c r="G284" s="18" t="s">
        <v>106</v>
      </c>
      <c r="H284" s="15" t="s">
        <v>5127</v>
      </c>
      <c r="I284" s="18">
        <v>13</v>
      </c>
      <c r="J284" s="18">
        <v>7</v>
      </c>
      <c r="K284" s="18">
        <v>6</v>
      </c>
      <c r="L284" s="18">
        <v>0</v>
      </c>
      <c r="M284" s="18" t="s">
        <v>5230</v>
      </c>
      <c r="N284" s="18" t="s">
        <v>6146</v>
      </c>
      <c r="O284" s="18">
        <v>45926</v>
      </c>
      <c r="T284" s="18" t="s">
        <v>5240</v>
      </c>
      <c r="U284" s="18" t="s">
        <v>5250</v>
      </c>
      <c r="V284" s="18" t="s">
        <v>106</v>
      </c>
      <c r="W284" s="18" t="s">
        <v>5124</v>
      </c>
      <c r="Y284" s="18" t="s">
        <v>5162</v>
      </c>
      <c r="Z284" s="18" t="s">
        <v>113</v>
      </c>
      <c r="AA284" s="18" t="s">
        <v>5163</v>
      </c>
      <c r="AB284" s="18" t="s">
        <v>179</v>
      </c>
      <c r="AC284" s="18" t="s">
        <v>111</v>
      </c>
      <c r="AD284" s="18" t="s">
        <v>111</v>
      </c>
      <c r="AE284" s="18" t="s">
        <v>111</v>
      </c>
      <c r="AF284" s="18" t="s">
        <v>5127</v>
      </c>
      <c r="AG284" s="18" t="s">
        <v>5127</v>
      </c>
      <c r="AH284" s="18" t="s">
        <v>111</v>
      </c>
      <c r="AI284" s="18">
        <v>1</v>
      </c>
      <c r="AK284" s="18" t="s">
        <v>5164</v>
      </c>
      <c r="AN284" s="18">
        <v>490</v>
      </c>
      <c r="AO284" s="18" t="s">
        <v>5165</v>
      </c>
      <c r="AP284" s="18" t="s">
        <v>6147</v>
      </c>
      <c r="AQ284" s="18" t="s">
        <v>5547</v>
      </c>
      <c r="AR284" s="18" t="s">
        <v>5168</v>
      </c>
      <c r="AT284" s="17">
        <f>(365*D284*0.7)/1000</f>
        <v>3467.6460000000002</v>
      </c>
      <c r="AU284" s="17">
        <f t="shared" si="12"/>
        <v>106</v>
      </c>
      <c r="AV284" s="18">
        <v>106</v>
      </c>
      <c r="AW284" s="18">
        <v>0</v>
      </c>
      <c r="AY284" s="18" t="s">
        <v>164</v>
      </c>
      <c r="AZ284" s="18">
        <v>0</v>
      </c>
      <c r="BA284" s="18">
        <v>0</v>
      </c>
      <c r="BB284" s="18">
        <v>0</v>
      </c>
      <c r="BD284" s="18">
        <v>0</v>
      </c>
      <c r="BE284" s="18">
        <v>0</v>
      </c>
      <c r="BG284" s="18" t="s">
        <v>5281</v>
      </c>
      <c r="BH284" s="18">
        <v>0</v>
      </c>
      <c r="BI284" s="18">
        <v>0</v>
      </c>
      <c r="BJ284" s="18">
        <v>0</v>
      </c>
      <c r="BQ284" s="18">
        <v>165</v>
      </c>
      <c r="BR284" s="18">
        <v>91</v>
      </c>
      <c r="BS284" s="18">
        <v>32</v>
      </c>
      <c r="BT284" s="18">
        <v>74</v>
      </c>
      <c r="BU284" s="18">
        <v>20</v>
      </c>
      <c r="BV284" s="18">
        <v>383</v>
      </c>
      <c r="BW284" s="15">
        <f t="shared" si="13"/>
        <v>382</v>
      </c>
      <c r="BY284" s="18" t="s">
        <v>5134</v>
      </c>
      <c r="BZ284" s="18" t="s">
        <v>5312</v>
      </c>
      <c r="CD284" s="18" t="s">
        <v>5127</v>
      </c>
      <c r="CE284" s="18" t="s">
        <v>5127</v>
      </c>
      <c r="CF284" s="18" t="s">
        <v>5135</v>
      </c>
      <c r="CG284" s="18" t="s">
        <v>6148</v>
      </c>
      <c r="CH284" s="18" t="s">
        <v>5241</v>
      </c>
      <c r="CI284" s="18" t="s">
        <v>5138</v>
      </c>
      <c r="CJ284" s="18" t="s">
        <v>5196</v>
      </c>
      <c r="CK284" s="18" t="s">
        <v>5197</v>
      </c>
      <c r="CL284" s="18">
        <v>1</v>
      </c>
      <c r="CM284" s="18">
        <v>0</v>
      </c>
      <c r="CN284" s="18">
        <v>0</v>
      </c>
      <c r="CO284" s="18">
        <v>1</v>
      </c>
      <c r="CP284" s="18">
        <v>1</v>
      </c>
      <c r="CQ284" s="18">
        <v>1</v>
      </c>
      <c r="CR284" s="18">
        <v>0</v>
      </c>
      <c r="CS284" s="18">
        <v>1</v>
      </c>
      <c r="CT284" s="18">
        <v>1</v>
      </c>
      <c r="CU284" s="18">
        <v>0</v>
      </c>
      <c r="CV284" s="18">
        <v>1</v>
      </c>
      <c r="CX284" s="18">
        <v>1</v>
      </c>
      <c r="CY284" s="18">
        <v>1</v>
      </c>
      <c r="CZ284" s="18">
        <v>0</v>
      </c>
      <c r="DA284" s="18">
        <v>1</v>
      </c>
      <c r="DB284" s="18">
        <v>1</v>
      </c>
      <c r="DC284" s="18">
        <v>1</v>
      </c>
      <c r="DD284" s="18">
        <v>1</v>
      </c>
      <c r="DE284" s="18">
        <v>1</v>
      </c>
      <c r="DF284" s="18">
        <v>1</v>
      </c>
      <c r="DG284" s="18">
        <v>1</v>
      </c>
      <c r="DH284" s="18">
        <v>1</v>
      </c>
      <c r="DI284" s="18">
        <v>1</v>
      </c>
      <c r="DK284" s="18">
        <v>0</v>
      </c>
      <c r="DL284" s="18">
        <v>1</v>
      </c>
      <c r="DM284" s="18" t="s">
        <v>5127</v>
      </c>
      <c r="DN284" s="18" t="s">
        <v>5172</v>
      </c>
      <c r="DO284" s="18" t="s">
        <v>6149</v>
      </c>
      <c r="DP284" s="18" t="s">
        <v>113</v>
      </c>
      <c r="DS284" s="18">
        <v>0</v>
      </c>
      <c r="DT284" s="18">
        <v>0</v>
      </c>
      <c r="DU284" s="18">
        <v>1</v>
      </c>
      <c r="DV284" s="18" t="s">
        <v>5444</v>
      </c>
      <c r="DX284" s="18" t="s">
        <v>5222</v>
      </c>
      <c r="DY284" s="18" t="s">
        <v>106</v>
      </c>
      <c r="DZ284" s="18" t="s">
        <v>106</v>
      </c>
      <c r="EA284" s="18" t="s">
        <v>6150</v>
      </c>
      <c r="EB284" s="18">
        <v>383</v>
      </c>
      <c r="EC284" s="18" t="s">
        <v>106</v>
      </c>
      <c r="ED284" s="18" t="s">
        <v>5147</v>
      </c>
      <c r="EE284" s="18" t="s">
        <v>106</v>
      </c>
      <c r="EF284" s="18" t="s">
        <v>113</v>
      </c>
      <c r="EG284" s="18" t="s">
        <v>5404</v>
      </c>
      <c r="EH284" s="18" t="s">
        <v>5203</v>
      </c>
      <c r="EI284" s="18" t="s">
        <v>5204</v>
      </c>
      <c r="EJ284" s="18" t="s">
        <v>5287</v>
      </c>
      <c r="EN284" s="18" t="s">
        <v>113</v>
      </c>
      <c r="EO284" s="18" t="s">
        <v>113</v>
      </c>
      <c r="EP284" s="18" t="s">
        <v>113</v>
      </c>
      <c r="EQ284" s="18" t="s">
        <v>113</v>
      </c>
      <c r="ER284" s="18" t="s">
        <v>5152</v>
      </c>
      <c r="ES284" s="18" t="s">
        <v>5153</v>
      </c>
      <c r="ET284" s="18" t="s">
        <v>5154</v>
      </c>
      <c r="EU284" s="18" t="s">
        <v>5155</v>
      </c>
      <c r="EV284" s="18" t="s">
        <v>6151</v>
      </c>
      <c r="EW284" s="18" t="s">
        <v>5247</v>
      </c>
      <c r="EX284" s="18" t="s">
        <v>5158</v>
      </c>
      <c r="EY284" s="18" t="s">
        <v>6152</v>
      </c>
      <c r="EZ284" s="18" t="s">
        <v>5182</v>
      </c>
      <c r="FA284" s="18" t="s">
        <v>144</v>
      </c>
      <c r="FB284" s="18" t="s">
        <v>5161</v>
      </c>
    </row>
    <row r="285" spans="1:158" ht="10.5" customHeight="1" x14ac:dyDescent="0.2">
      <c r="A285" s="16">
        <v>41</v>
      </c>
      <c r="B285" s="16" t="s">
        <v>2652</v>
      </c>
      <c r="C285" s="16" t="s">
        <v>2651</v>
      </c>
      <c r="D285" s="16">
        <v>13572</v>
      </c>
      <c r="E285" s="16" t="s">
        <v>6656</v>
      </c>
      <c r="F285" s="18" t="s">
        <v>2651</v>
      </c>
      <c r="G285" s="18" t="s">
        <v>106</v>
      </c>
      <c r="H285" s="15" t="s">
        <v>5127</v>
      </c>
      <c r="I285" s="18">
        <v>13</v>
      </c>
      <c r="J285" s="18">
        <v>7</v>
      </c>
      <c r="K285" s="18">
        <v>6</v>
      </c>
      <c r="L285" s="18">
        <v>0</v>
      </c>
      <c r="M285" s="18" t="s">
        <v>5183</v>
      </c>
      <c r="N285" s="18" t="s">
        <v>6153</v>
      </c>
      <c r="O285" s="18">
        <v>45926</v>
      </c>
      <c r="T285" s="18" t="s">
        <v>111</v>
      </c>
      <c r="U285" s="18" t="s">
        <v>5250</v>
      </c>
      <c r="V285" s="18" t="s">
        <v>106</v>
      </c>
      <c r="W285" s="18" t="s">
        <v>5124</v>
      </c>
      <c r="Y285" s="18" t="s">
        <v>5212</v>
      </c>
      <c r="Z285" s="18" t="s">
        <v>113</v>
      </c>
      <c r="AA285" s="18" t="s">
        <v>5163</v>
      </c>
      <c r="AB285" s="18" t="s">
        <v>179</v>
      </c>
      <c r="AC285" s="18" t="s">
        <v>111</v>
      </c>
      <c r="AD285" s="18" t="s">
        <v>111</v>
      </c>
      <c r="AE285" s="18" t="s">
        <v>111</v>
      </c>
      <c r="AF285" s="18" t="s">
        <v>5127</v>
      </c>
      <c r="AG285" s="18" t="s">
        <v>5127</v>
      </c>
      <c r="AH285" s="18" t="s">
        <v>111</v>
      </c>
      <c r="AI285" s="18">
        <v>1</v>
      </c>
      <c r="AK285" s="18" t="s">
        <v>5279</v>
      </c>
      <c r="AN285" s="18">
        <v>490</v>
      </c>
      <c r="AO285" s="18" t="s">
        <v>5165</v>
      </c>
      <c r="AP285" s="18" t="s">
        <v>6154</v>
      </c>
      <c r="AQ285" s="18" t="s">
        <v>5547</v>
      </c>
      <c r="AR285" s="18" t="s">
        <v>5168</v>
      </c>
      <c r="AT285" s="17">
        <f>(365*D285*0.7)/1000</f>
        <v>3467.6460000000002</v>
      </c>
      <c r="AU285" s="17">
        <f t="shared" si="12"/>
        <v>106</v>
      </c>
      <c r="AV285" s="18">
        <v>106</v>
      </c>
      <c r="AW285" s="18">
        <v>0</v>
      </c>
      <c r="AY285" s="18" t="s">
        <v>164</v>
      </c>
      <c r="AZ285" s="18">
        <v>0</v>
      </c>
      <c r="BA285" s="18">
        <v>0</v>
      </c>
      <c r="BB285" s="18">
        <v>0</v>
      </c>
      <c r="BD285" s="18">
        <v>0</v>
      </c>
      <c r="BE285" s="18">
        <v>0</v>
      </c>
      <c r="BG285" s="18" t="s">
        <v>5281</v>
      </c>
      <c r="BH285" s="18">
        <v>0</v>
      </c>
      <c r="BI285" s="18">
        <v>0</v>
      </c>
      <c r="BJ285" s="18">
        <v>0</v>
      </c>
      <c r="BQ285" s="18">
        <v>165</v>
      </c>
      <c r="BR285" s="18">
        <v>91</v>
      </c>
      <c r="BS285" s="18">
        <v>32</v>
      </c>
      <c r="BT285" s="18">
        <v>74</v>
      </c>
      <c r="BU285" s="18">
        <v>20</v>
      </c>
      <c r="BV285" s="18">
        <v>383</v>
      </c>
      <c r="BW285" s="15">
        <f t="shared" si="13"/>
        <v>382</v>
      </c>
      <c r="BY285" s="18" t="s">
        <v>5134</v>
      </c>
      <c r="BZ285" s="18" t="s">
        <v>5312</v>
      </c>
      <c r="CD285" s="18" t="s">
        <v>5127</v>
      </c>
      <c r="CE285" s="18" t="s">
        <v>5127</v>
      </c>
      <c r="CF285" s="18" t="s">
        <v>5135</v>
      </c>
      <c r="CG285" s="18" t="s">
        <v>6155</v>
      </c>
      <c r="CH285" s="18" t="s">
        <v>5241</v>
      </c>
      <c r="CI285" s="18" t="s">
        <v>5138</v>
      </c>
      <c r="CJ285" s="18" t="s">
        <v>5196</v>
      </c>
      <c r="CK285" s="18" t="s">
        <v>5197</v>
      </c>
      <c r="CL285" s="18">
        <v>1</v>
      </c>
      <c r="CM285" s="18">
        <v>0</v>
      </c>
      <c r="CN285" s="18">
        <v>0</v>
      </c>
      <c r="CO285" s="18">
        <v>1</v>
      </c>
      <c r="CP285" s="18">
        <v>1</v>
      </c>
      <c r="CQ285" s="18">
        <v>1</v>
      </c>
      <c r="CR285" s="18">
        <v>0</v>
      </c>
      <c r="CS285" s="18">
        <v>1</v>
      </c>
      <c r="CT285" s="18">
        <v>1</v>
      </c>
      <c r="CU285" s="18">
        <v>0</v>
      </c>
      <c r="CV285" s="18">
        <v>1</v>
      </c>
      <c r="CX285" s="18">
        <v>1</v>
      </c>
      <c r="CY285" s="18">
        <v>1</v>
      </c>
      <c r="CZ285" s="18">
        <v>0</v>
      </c>
      <c r="DA285" s="18">
        <v>1</v>
      </c>
      <c r="DB285" s="18">
        <v>1</v>
      </c>
      <c r="DC285" s="18">
        <v>1</v>
      </c>
      <c r="DD285" s="18">
        <v>1</v>
      </c>
      <c r="DE285" s="18">
        <v>1</v>
      </c>
      <c r="DF285" s="18">
        <v>1</v>
      </c>
      <c r="DG285" s="18">
        <v>1</v>
      </c>
      <c r="DH285" s="18">
        <v>1</v>
      </c>
      <c r="DI285" s="18">
        <v>1</v>
      </c>
      <c r="DK285" s="18">
        <v>0</v>
      </c>
      <c r="DL285" s="18">
        <v>1</v>
      </c>
      <c r="DM285" s="18" t="s">
        <v>5127</v>
      </c>
      <c r="DN285" s="18" t="s">
        <v>5716</v>
      </c>
      <c r="DO285" s="18" t="s">
        <v>6149</v>
      </c>
      <c r="DP285" s="18" t="s">
        <v>113</v>
      </c>
      <c r="DS285" s="18">
        <v>0</v>
      </c>
      <c r="DT285" s="18">
        <v>0</v>
      </c>
      <c r="DU285" s="18">
        <v>1</v>
      </c>
      <c r="DV285" s="18" t="s">
        <v>5444</v>
      </c>
      <c r="DX285" s="18" t="s">
        <v>5222</v>
      </c>
      <c r="DY285" s="18" t="s">
        <v>106</v>
      </c>
      <c r="DZ285" s="18" t="s">
        <v>106</v>
      </c>
      <c r="EA285" s="18" t="s">
        <v>5639</v>
      </c>
      <c r="EB285" s="18">
        <v>383</v>
      </c>
      <c r="EC285" s="18" t="s">
        <v>106</v>
      </c>
      <c r="ED285" s="18" t="s">
        <v>5147</v>
      </c>
      <c r="EE285" s="18" t="s">
        <v>106</v>
      </c>
      <c r="EF285" s="18" t="s">
        <v>113</v>
      </c>
      <c r="EG285" s="18" t="s">
        <v>5404</v>
      </c>
      <c r="EH285" s="18" t="s">
        <v>5203</v>
      </c>
      <c r="EI285" s="18" t="s">
        <v>5204</v>
      </c>
      <c r="EJ285" s="18" t="s">
        <v>5422</v>
      </c>
      <c r="EN285" s="18" t="s">
        <v>113</v>
      </c>
      <c r="EO285" s="18" t="s">
        <v>113</v>
      </c>
      <c r="EP285" s="18" t="s">
        <v>113</v>
      </c>
      <c r="EQ285" s="18" t="s">
        <v>113</v>
      </c>
      <c r="ER285" s="18" t="s">
        <v>5152</v>
      </c>
      <c r="ES285" s="18" t="s">
        <v>5153</v>
      </c>
      <c r="ET285" s="18" t="s">
        <v>5154</v>
      </c>
      <c r="EU285" s="18" t="s">
        <v>5318</v>
      </c>
      <c r="EV285" s="18" t="s">
        <v>6151</v>
      </c>
      <c r="EW285" s="18" t="s">
        <v>5247</v>
      </c>
      <c r="EX285" s="18" t="s">
        <v>5158</v>
      </c>
      <c r="EY285" s="18" t="s">
        <v>6152</v>
      </c>
      <c r="EZ285" s="18" t="s">
        <v>5182</v>
      </c>
      <c r="FA285" s="18" t="s">
        <v>144</v>
      </c>
      <c r="FB285" s="18" t="s">
        <v>5161</v>
      </c>
    </row>
    <row r="286" spans="1:158" ht="10.5" customHeight="1" x14ac:dyDescent="0.2">
      <c r="A286" s="16">
        <v>41</v>
      </c>
      <c r="B286" s="16" t="s">
        <v>2652</v>
      </c>
      <c r="C286" s="16" t="s">
        <v>2651</v>
      </c>
      <c r="D286" s="16">
        <v>13572</v>
      </c>
      <c r="E286" s="16" t="s">
        <v>6656</v>
      </c>
      <c r="F286" s="18" t="s">
        <v>2651</v>
      </c>
      <c r="G286" s="18" t="s">
        <v>106</v>
      </c>
      <c r="H286" s="15" t="s">
        <v>5127</v>
      </c>
      <c r="I286" s="18">
        <v>13</v>
      </c>
      <c r="J286" s="18" t="s">
        <v>1024</v>
      </c>
      <c r="K286" s="18" t="s">
        <v>387</v>
      </c>
      <c r="L286" s="18">
        <v>0</v>
      </c>
      <c r="M286" s="18" t="s">
        <v>5183</v>
      </c>
      <c r="N286" s="18" t="s">
        <v>6156</v>
      </c>
      <c r="O286" s="18">
        <v>45926</v>
      </c>
      <c r="T286" s="18" t="s">
        <v>111</v>
      </c>
      <c r="U286" s="18" t="s">
        <v>5123</v>
      </c>
      <c r="V286" s="18" t="s">
        <v>106</v>
      </c>
      <c r="W286" s="18" t="s">
        <v>5124</v>
      </c>
      <c r="Y286" s="18" t="s">
        <v>5942</v>
      </c>
      <c r="Z286" s="18" t="s">
        <v>113</v>
      </c>
      <c r="AA286" s="18" t="s">
        <v>5163</v>
      </c>
      <c r="AB286" s="18" t="s">
        <v>179</v>
      </c>
      <c r="AC286" s="18" t="s">
        <v>111</v>
      </c>
      <c r="AD286" s="18" t="s">
        <v>111</v>
      </c>
      <c r="AE286" s="18" t="s">
        <v>111</v>
      </c>
      <c r="AF286" s="18" t="s">
        <v>5127</v>
      </c>
      <c r="AG286" s="18" t="s">
        <v>5127</v>
      </c>
      <c r="AH286" s="18" t="s">
        <v>111</v>
      </c>
      <c r="AI286" s="18">
        <v>1</v>
      </c>
      <c r="AK286" s="18" t="s">
        <v>5279</v>
      </c>
      <c r="AN286" s="18">
        <v>440</v>
      </c>
      <c r="AO286" s="18" t="s">
        <v>5165</v>
      </c>
      <c r="AP286" s="18" t="s">
        <v>6157</v>
      </c>
      <c r="AQ286" s="18" t="s">
        <v>164</v>
      </c>
      <c r="AR286" s="18" t="s">
        <v>5168</v>
      </c>
      <c r="AT286" s="17">
        <f>(365*D286*0.7)/1000</f>
        <v>3467.6460000000002</v>
      </c>
      <c r="AU286" s="17">
        <f t="shared" si="12"/>
        <v>29</v>
      </c>
      <c r="AV286" s="18">
        <v>29</v>
      </c>
      <c r="AW286" s="18">
        <v>0</v>
      </c>
      <c r="AY286" s="18" t="s">
        <v>6158</v>
      </c>
      <c r="AZ286" s="18">
        <v>0</v>
      </c>
      <c r="BA286" s="18">
        <v>0</v>
      </c>
      <c r="BB286" s="18">
        <v>0</v>
      </c>
      <c r="BD286" s="18">
        <f>3000/1000</f>
        <v>3</v>
      </c>
      <c r="BE286" s="18">
        <v>6300</v>
      </c>
      <c r="BG286" s="18" t="s">
        <v>5281</v>
      </c>
      <c r="BH286" s="18">
        <v>0</v>
      </c>
      <c r="BI286" s="18">
        <v>0</v>
      </c>
      <c r="BJ286" s="18">
        <v>0</v>
      </c>
      <c r="BQ286" s="18">
        <v>190</v>
      </c>
      <c r="BR286" s="18">
        <v>130</v>
      </c>
      <c r="BS286" s="18">
        <v>42</v>
      </c>
      <c r="BT286" s="18">
        <v>20</v>
      </c>
      <c r="BU286" s="18">
        <v>29</v>
      </c>
      <c r="BV286" s="18">
        <v>411</v>
      </c>
      <c r="BW286" s="15">
        <f t="shared" si="13"/>
        <v>411</v>
      </c>
      <c r="BY286" s="18" t="s">
        <v>5340</v>
      </c>
      <c r="BZ286" s="18" t="s">
        <v>5312</v>
      </c>
      <c r="CD286" s="18" t="s">
        <v>5127</v>
      </c>
      <c r="CE286" s="18" t="s">
        <v>5127</v>
      </c>
      <c r="CF286" s="18" t="s">
        <v>5135</v>
      </c>
      <c r="CG286" s="18" t="s">
        <v>6043</v>
      </c>
      <c r="CH286" s="18" t="s">
        <v>5241</v>
      </c>
      <c r="CI286" s="18" t="s">
        <v>5138</v>
      </c>
      <c r="CJ286" s="18" t="s">
        <v>5196</v>
      </c>
      <c r="CK286" s="18" t="s">
        <v>5197</v>
      </c>
      <c r="CL286" s="18">
        <v>1</v>
      </c>
      <c r="CM286" s="18">
        <v>0</v>
      </c>
      <c r="CN286" s="18">
        <v>0</v>
      </c>
      <c r="CO286" s="18">
        <v>1</v>
      </c>
      <c r="CP286" s="18">
        <v>1</v>
      </c>
      <c r="CQ286" s="18">
        <v>1</v>
      </c>
      <c r="CR286" s="18">
        <v>0</v>
      </c>
      <c r="CS286" s="18">
        <v>1</v>
      </c>
      <c r="CT286" s="18">
        <v>1</v>
      </c>
      <c r="CU286" s="18">
        <v>0</v>
      </c>
      <c r="CV286" s="18">
        <v>1</v>
      </c>
      <c r="CX286" s="18">
        <v>0</v>
      </c>
      <c r="CY286" s="18">
        <v>0</v>
      </c>
      <c r="CZ286" s="18">
        <v>0</v>
      </c>
      <c r="DA286" s="18">
        <v>1</v>
      </c>
      <c r="DB286" s="18">
        <v>0</v>
      </c>
      <c r="DC286" s="18">
        <v>1</v>
      </c>
      <c r="DD286" s="18">
        <v>1</v>
      </c>
      <c r="DE286" s="18">
        <v>0</v>
      </c>
      <c r="DF286" s="18">
        <v>0</v>
      </c>
      <c r="DG286" s="18">
        <v>0</v>
      </c>
      <c r="DH286" s="18">
        <v>1</v>
      </c>
      <c r="DI286" s="18">
        <v>0</v>
      </c>
      <c r="DK286" s="18">
        <v>0</v>
      </c>
      <c r="DL286" s="18">
        <v>1</v>
      </c>
      <c r="DM286" s="18" t="s">
        <v>5127</v>
      </c>
      <c r="DN286" s="18" t="s">
        <v>5172</v>
      </c>
      <c r="DO286" s="18" t="s">
        <v>6159</v>
      </c>
      <c r="DP286" s="18" t="s">
        <v>113</v>
      </c>
      <c r="DS286" s="18">
        <v>0</v>
      </c>
      <c r="DT286" s="18">
        <v>0</v>
      </c>
      <c r="DU286" s="18">
        <v>1</v>
      </c>
      <c r="DV286" s="18" t="s">
        <v>5377</v>
      </c>
      <c r="DX286" s="18" t="s">
        <v>5222</v>
      </c>
      <c r="DY286" s="18" t="s">
        <v>106</v>
      </c>
      <c r="DZ286" s="18" t="s">
        <v>106</v>
      </c>
      <c r="EA286" s="18" t="s">
        <v>5302</v>
      </c>
      <c r="EB286" s="18">
        <v>29</v>
      </c>
      <c r="EC286" s="18" t="s">
        <v>106</v>
      </c>
      <c r="ED286" s="18" t="s">
        <v>5176</v>
      </c>
      <c r="EE286" s="18" t="s">
        <v>106</v>
      </c>
      <c r="EF286" s="18" t="s">
        <v>113</v>
      </c>
      <c r="EG286" s="18" t="s">
        <v>5386</v>
      </c>
      <c r="EH286" s="18" t="s">
        <v>5203</v>
      </c>
      <c r="EI286" s="18" t="s">
        <v>5204</v>
      </c>
      <c r="EJ286" s="18" t="s">
        <v>5177</v>
      </c>
      <c r="EK286" s="18" t="s">
        <v>113</v>
      </c>
      <c r="EN286" s="18" t="s">
        <v>113</v>
      </c>
      <c r="EO286" s="18" t="s">
        <v>113</v>
      </c>
      <c r="EP286" s="18" t="s">
        <v>113</v>
      </c>
      <c r="EQ286" s="18" t="s">
        <v>113</v>
      </c>
      <c r="ER286" s="18" t="s">
        <v>5152</v>
      </c>
      <c r="ES286" s="18" t="s">
        <v>5153</v>
      </c>
      <c r="ET286" s="18" t="s">
        <v>5154</v>
      </c>
      <c r="EU286" s="18" t="s">
        <v>5155</v>
      </c>
      <c r="EV286" s="18" t="s">
        <v>5372</v>
      </c>
      <c r="EW286" s="18" t="s">
        <v>5247</v>
      </c>
      <c r="EX286" s="18" t="s">
        <v>5158</v>
      </c>
      <c r="EY286" s="18" t="s">
        <v>5248</v>
      </c>
      <c r="EZ286" s="18" t="s">
        <v>5182</v>
      </c>
      <c r="FA286" s="18" t="s">
        <v>144</v>
      </c>
      <c r="FB286" s="18" t="s">
        <v>5161</v>
      </c>
    </row>
    <row r="287" spans="1:158" ht="10.5" customHeight="1" x14ac:dyDescent="0.2">
      <c r="A287" s="16">
        <v>41</v>
      </c>
      <c r="B287" s="16" t="s">
        <v>4275</v>
      </c>
      <c r="C287" s="16" t="s">
        <v>4276</v>
      </c>
      <c r="D287" s="16">
        <v>33752</v>
      </c>
      <c r="E287" s="16" t="s">
        <v>6658</v>
      </c>
      <c r="H287" s="15" t="s">
        <v>6661</v>
      </c>
      <c r="AT287" s="17">
        <f>(365*D287*0.7)/1000</f>
        <v>8623.6360000000004</v>
      </c>
      <c r="AU287" s="17">
        <f t="shared" si="12"/>
        <v>0</v>
      </c>
      <c r="BW287" s="15">
        <f t="shared" si="13"/>
        <v>0</v>
      </c>
    </row>
    <row r="288" spans="1:158" ht="10.5" customHeight="1" x14ac:dyDescent="0.2">
      <c r="A288" s="16">
        <v>41</v>
      </c>
      <c r="B288" s="16" t="s">
        <v>2666</v>
      </c>
      <c r="C288" s="16" t="s">
        <v>2665</v>
      </c>
      <c r="D288" s="16">
        <v>38050</v>
      </c>
      <c r="E288" s="16" t="s">
        <v>6658</v>
      </c>
      <c r="F288" s="18" t="s">
        <v>2665</v>
      </c>
      <c r="G288" s="18" t="s">
        <v>106</v>
      </c>
      <c r="H288" s="15" t="s">
        <v>5127</v>
      </c>
      <c r="I288" s="18">
        <v>25</v>
      </c>
      <c r="J288" s="18">
        <v>16</v>
      </c>
      <c r="K288" s="18" t="s">
        <v>2993</v>
      </c>
      <c r="L288" s="18">
        <v>0</v>
      </c>
      <c r="M288" s="18" t="s">
        <v>5230</v>
      </c>
      <c r="N288" s="18" t="s">
        <v>6160</v>
      </c>
      <c r="O288" s="18">
        <v>45288</v>
      </c>
      <c r="T288" s="18" t="s">
        <v>5546</v>
      </c>
      <c r="U288" s="18" t="s">
        <v>5185</v>
      </c>
      <c r="V288" s="18" t="s">
        <v>106</v>
      </c>
      <c r="W288" s="18" t="s">
        <v>5211</v>
      </c>
      <c r="Y288" s="18" t="s">
        <v>5162</v>
      </c>
      <c r="Z288" s="18" t="s">
        <v>106</v>
      </c>
      <c r="AA288" s="18" t="s">
        <v>5267</v>
      </c>
      <c r="AB288" s="18" t="s">
        <v>179</v>
      </c>
      <c r="AC288" s="18" t="s">
        <v>5127</v>
      </c>
      <c r="AD288" s="18" t="s">
        <v>5127</v>
      </c>
      <c r="AE288" s="18" t="s">
        <v>5127</v>
      </c>
      <c r="AF288" s="18" t="s">
        <v>5127</v>
      </c>
      <c r="AG288" s="18" t="s">
        <v>5127</v>
      </c>
      <c r="AH288" s="18" t="s">
        <v>5127</v>
      </c>
      <c r="AI288" s="18">
        <v>1</v>
      </c>
      <c r="AK288" s="18" t="s">
        <v>5164</v>
      </c>
      <c r="AN288" s="18">
        <v>0</v>
      </c>
      <c r="AO288" s="18" t="s">
        <v>5186</v>
      </c>
      <c r="AP288" s="18" t="s">
        <v>6161</v>
      </c>
      <c r="AQ288" s="18" t="s">
        <v>5252</v>
      </c>
      <c r="AR288" s="18" t="s">
        <v>179</v>
      </c>
      <c r="AT288" s="17">
        <f>(365*D288*0.7)/1000</f>
        <v>9721.7749999999996</v>
      </c>
      <c r="AU288" s="17">
        <f t="shared" si="12"/>
        <v>30</v>
      </c>
      <c r="AV288" s="18">
        <f>30000/1000</f>
        <v>30</v>
      </c>
      <c r="AW288" s="18">
        <v>0</v>
      </c>
      <c r="AY288" s="18" t="s">
        <v>5334</v>
      </c>
      <c r="AZ288" s="18">
        <v>0</v>
      </c>
      <c r="BA288" s="18">
        <v>0</v>
      </c>
      <c r="BB288" s="18">
        <v>0</v>
      </c>
      <c r="BD288" s="18">
        <v>0</v>
      </c>
      <c r="BE288" s="18">
        <v>0</v>
      </c>
      <c r="BG288" s="18" t="s">
        <v>5133</v>
      </c>
      <c r="BH288" s="18">
        <v>0</v>
      </c>
      <c r="BI288" s="18">
        <v>0</v>
      </c>
      <c r="BJ288" s="18">
        <v>0</v>
      </c>
      <c r="BQ288" s="18">
        <v>429</v>
      </c>
      <c r="BR288" s="18">
        <v>200</v>
      </c>
      <c r="BS288" s="18">
        <v>275</v>
      </c>
      <c r="BT288" s="18">
        <v>113</v>
      </c>
      <c r="BU288" s="18">
        <v>94</v>
      </c>
      <c r="BV288" s="18">
        <f>SUM(BQ288:BU288)</f>
        <v>1111</v>
      </c>
      <c r="BW288" s="15">
        <f t="shared" si="13"/>
        <v>1111</v>
      </c>
      <c r="BY288" s="18" t="s">
        <v>6162</v>
      </c>
      <c r="BZ288" s="18" t="s">
        <v>5688</v>
      </c>
      <c r="CD288" s="18" t="s">
        <v>5127</v>
      </c>
      <c r="CE288" s="18" t="s">
        <v>5127</v>
      </c>
      <c r="CF288" s="18" t="s">
        <v>5135</v>
      </c>
      <c r="CG288" s="18" t="s">
        <v>5193</v>
      </c>
      <c r="CH288" s="18" t="s">
        <v>5504</v>
      </c>
      <c r="CI288" s="18" t="s">
        <v>5138</v>
      </c>
      <c r="CJ288" s="18" t="s">
        <v>5196</v>
      </c>
      <c r="CK288" s="18" t="s">
        <v>5197</v>
      </c>
      <c r="CL288" s="18">
        <v>3</v>
      </c>
      <c r="CM288" s="18">
        <v>1</v>
      </c>
      <c r="CN288" s="18">
        <v>0</v>
      </c>
      <c r="CO288" s="18">
        <v>1</v>
      </c>
      <c r="CP288" s="18">
        <v>4</v>
      </c>
      <c r="CQ288" s="18">
        <v>1</v>
      </c>
      <c r="CR288" s="18">
        <v>0</v>
      </c>
      <c r="CS288" s="18">
        <v>5</v>
      </c>
      <c r="CT288" s="18">
        <v>0</v>
      </c>
      <c r="CU288" s="18">
        <v>0</v>
      </c>
      <c r="CV288" s="18">
        <v>0</v>
      </c>
      <c r="CX288" s="18">
        <v>1</v>
      </c>
      <c r="CY288" s="18">
        <v>1</v>
      </c>
      <c r="CZ288" s="18">
        <v>1</v>
      </c>
      <c r="DA288" s="18">
        <v>1</v>
      </c>
      <c r="DB288" s="18">
        <v>1</v>
      </c>
      <c r="DC288" s="18">
        <v>1</v>
      </c>
      <c r="DD288" s="18">
        <v>1</v>
      </c>
      <c r="DE288" s="18">
        <v>1</v>
      </c>
      <c r="DF288" s="18">
        <v>1</v>
      </c>
      <c r="DG288" s="18">
        <v>1</v>
      </c>
      <c r="DH288" s="18">
        <v>1</v>
      </c>
      <c r="DI288" s="18">
        <v>1</v>
      </c>
      <c r="DK288" s="18">
        <v>0</v>
      </c>
      <c r="DL288" s="18">
        <v>1</v>
      </c>
      <c r="DM288" s="18" t="s">
        <v>5127</v>
      </c>
      <c r="DN288" s="18" t="s">
        <v>5172</v>
      </c>
      <c r="DO288" s="18" t="s">
        <v>5199</v>
      </c>
      <c r="DP288" s="18" t="s">
        <v>113</v>
      </c>
      <c r="DQ288" s="18" t="s">
        <v>179</v>
      </c>
      <c r="DS288" s="18">
        <v>0</v>
      </c>
      <c r="DT288" s="18">
        <v>1</v>
      </c>
      <c r="DU288" s="18">
        <v>1</v>
      </c>
      <c r="DV288" s="18" t="s">
        <v>5342</v>
      </c>
      <c r="DX288" s="18" t="s">
        <v>5201</v>
      </c>
      <c r="DY288" s="18" t="s">
        <v>106</v>
      </c>
      <c r="DZ288" s="18" t="s">
        <v>113</v>
      </c>
      <c r="EA288" s="18" t="s">
        <v>5285</v>
      </c>
      <c r="EB288" s="18">
        <v>56919216</v>
      </c>
      <c r="EC288" s="18" t="s">
        <v>106</v>
      </c>
      <c r="ED288" s="18" t="s">
        <v>5176</v>
      </c>
      <c r="EE288" s="18" t="s">
        <v>106</v>
      </c>
      <c r="EF288" s="18" t="s">
        <v>106</v>
      </c>
      <c r="EG288" s="18" t="s">
        <v>5326</v>
      </c>
      <c r="EH288" s="18" t="s">
        <v>5203</v>
      </c>
      <c r="EI288" s="18" t="s">
        <v>5204</v>
      </c>
      <c r="EJ288" s="18" t="s">
        <v>5245</v>
      </c>
      <c r="EK288" s="18" t="s">
        <v>113</v>
      </c>
      <c r="EL288" s="18" t="s">
        <v>124</v>
      </c>
      <c r="EM288" s="18" t="s">
        <v>5227</v>
      </c>
      <c r="EN288" s="18" t="s">
        <v>113</v>
      </c>
      <c r="EO288" s="18" t="s">
        <v>113</v>
      </c>
      <c r="EP288" s="18" t="s">
        <v>113</v>
      </c>
      <c r="EQ288" s="18" t="s">
        <v>113</v>
      </c>
      <c r="ER288" s="18" t="s">
        <v>5152</v>
      </c>
      <c r="ES288" s="18" t="s">
        <v>5153</v>
      </c>
      <c r="ET288" s="18" t="s">
        <v>5154</v>
      </c>
      <c r="EU288" s="18" t="s">
        <v>5155</v>
      </c>
      <c r="EV288" s="18" t="s">
        <v>6163</v>
      </c>
      <c r="EW288" s="18" t="s">
        <v>5593</v>
      </c>
      <c r="EX288" s="18" t="s">
        <v>5158</v>
      </c>
      <c r="EY288" s="18" t="s">
        <v>5248</v>
      </c>
      <c r="EZ288" s="18" t="s">
        <v>5160</v>
      </c>
      <c r="FA288" s="18" t="s">
        <v>144</v>
      </c>
      <c r="FB288" s="18" t="s">
        <v>5161</v>
      </c>
    </row>
    <row r="289" spans="1:158" ht="10.5" customHeight="1" x14ac:dyDescent="0.2">
      <c r="A289" s="16">
        <v>41</v>
      </c>
      <c r="B289" s="16" t="s">
        <v>4114</v>
      </c>
      <c r="C289" s="16" t="s">
        <v>4115</v>
      </c>
      <c r="D289" s="16">
        <v>28761</v>
      </c>
      <c r="E289" s="16" t="s">
        <v>6658</v>
      </c>
      <c r="H289" s="15" t="s">
        <v>6661</v>
      </c>
      <c r="AT289" s="17">
        <f>(365*D289*0.7)/1000</f>
        <v>7348.4354999999987</v>
      </c>
      <c r="AU289" s="17">
        <f t="shared" si="12"/>
        <v>0</v>
      </c>
      <c r="BW289" s="15">
        <f t="shared" si="13"/>
        <v>0</v>
      </c>
    </row>
    <row r="290" spans="1:158" ht="10.5" customHeight="1" x14ac:dyDescent="0.2">
      <c r="A290" s="16">
        <v>41</v>
      </c>
      <c r="B290" s="16" t="s">
        <v>577</v>
      </c>
      <c r="C290" s="16" t="s">
        <v>578</v>
      </c>
      <c r="D290" s="16">
        <v>2761</v>
      </c>
      <c r="E290" s="16" t="s">
        <v>6656</v>
      </c>
      <c r="H290" s="15" t="s">
        <v>6661</v>
      </c>
      <c r="AT290" s="17">
        <f>(365*D290*0.7)/1000</f>
        <v>705.43550000000005</v>
      </c>
      <c r="AU290" s="17">
        <f t="shared" si="12"/>
        <v>0</v>
      </c>
      <c r="BW290" s="15">
        <f t="shared" si="13"/>
        <v>0</v>
      </c>
    </row>
    <row r="291" spans="1:158" ht="10.5" customHeight="1" x14ac:dyDescent="0.2">
      <c r="A291" s="16">
        <v>41</v>
      </c>
      <c r="B291" s="16" t="s">
        <v>3653</v>
      </c>
      <c r="C291" s="16" t="s">
        <v>3654</v>
      </c>
      <c r="D291" s="16">
        <v>16764</v>
      </c>
      <c r="E291" s="16" t="s">
        <v>6658</v>
      </c>
      <c r="H291" s="15" t="s">
        <v>6661</v>
      </c>
      <c r="AT291" s="17">
        <f>(365*D291*0.7)/1000</f>
        <v>4283.2020000000002</v>
      </c>
      <c r="AU291" s="17">
        <f t="shared" si="12"/>
        <v>0</v>
      </c>
      <c r="BW291" s="15">
        <f t="shared" si="13"/>
        <v>0</v>
      </c>
    </row>
    <row r="292" spans="1:158" ht="10.5" customHeight="1" x14ac:dyDescent="0.2">
      <c r="A292" s="16">
        <v>41</v>
      </c>
      <c r="B292" s="16" t="s">
        <v>2681</v>
      </c>
      <c r="C292" s="16" t="s">
        <v>2680</v>
      </c>
      <c r="D292" s="16">
        <v>14576</v>
      </c>
      <c r="E292" s="16" t="s">
        <v>6656</v>
      </c>
      <c r="F292" s="18" t="s">
        <v>2680</v>
      </c>
      <c r="G292" s="18" t="s">
        <v>106</v>
      </c>
      <c r="H292" s="15" t="s">
        <v>5127</v>
      </c>
      <c r="I292" s="18">
        <v>17</v>
      </c>
      <c r="J292" s="18">
        <v>6</v>
      </c>
      <c r="K292" s="18">
        <v>11</v>
      </c>
      <c r="L292" s="18">
        <v>0</v>
      </c>
      <c r="M292" s="18" t="s">
        <v>5183</v>
      </c>
      <c r="N292" s="18" t="s">
        <v>6164</v>
      </c>
      <c r="O292" s="18">
        <v>46730</v>
      </c>
      <c r="T292" s="18" t="s">
        <v>111</v>
      </c>
      <c r="U292" s="18" t="s">
        <v>5250</v>
      </c>
      <c r="V292" s="18" t="s">
        <v>106</v>
      </c>
      <c r="W292" s="18" t="s">
        <v>5124</v>
      </c>
      <c r="Y292" s="18" t="s">
        <v>5407</v>
      </c>
      <c r="Z292" s="18" t="s">
        <v>106</v>
      </c>
      <c r="AA292" s="18" t="s">
        <v>5163</v>
      </c>
      <c r="AB292" s="18" t="s">
        <v>5213</v>
      </c>
      <c r="AC292" s="18" t="s">
        <v>5127</v>
      </c>
      <c r="AD292" s="18" t="s">
        <v>5127</v>
      </c>
      <c r="AE292" s="18" t="s">
        <v>5127</v>
      </c>
      <c r="AF292" s="18" t="s">
        <v>111</v>
      </c>
      <c r="AG292" s="18" t="s">
        <v>5127</v>
      </c>
      <c r="AH292" s="18" t="s">
        <v>5127</v>
      </c>
      <c r="AI292" s="18">
        <v>1</v>
      </c>
      <c r="AK292" s="18" t="s">
        <v>5164</v>
      </c>
      <c r="AN292" s="18">
        <v>767</v>
      </c>
      <c r="AO292" s="18" t="s">
        <v>5186</v>
      </c>
      <c r="AP292" s="18" t="s">
        <v>6165</v>
      </c>
      <c r="AQ292" s="18" t="s">
        <v>5252</v>
      </c>
      <c r="AR292" s="18" t="s">
        <v>5132</v>
      </c>
      <c r="AT292" s="17">
        <f>(365*D292*0.7)/1000</f>
        <v>3724.1679999999997</v>
      </c>
      <c r="AU292" s="17">
        <f t="shared" si="12"/>
        <v>153</v>
      </c>
      <c r="AV292" s="18">
        <v>153</v>
      </c>
      <c r="AW292" s="18">
        <v>0</v>
      </c>
      <c r="AY292" s="18" t="s">
        <v>5583</v>
      </c>
      <c r="BA292" s="18">
        <v>0</v>
      </c>
      <c r="BG292" s="18" t="s">
        <v>5827</v>
      </c>
      <c r="BQ292" s="18">
        <v>173</v>
      </c>
      <c r="BR292" s="18">
        <v>110.8</v>
      </c>
      <c r="BS292" s="18">
        <v>95</v>
      </c>
      <c r="BT292" s="18">
        <v>91.4</v>
      </c>
      <c r="BU292" s="18">
        <v>143.32</v>
      </c>
      <c r="BV292" s="18">
        <v>613.52</v>
      </c>
      <c r="BW292" s="15">
        <f t="shared" si="13"/>
        <v>613.52</v>
      </c>
      <c r="BY292" s="18" t="s">
        <v>5134</v>
      </c>
      <c r="BZ292" s="18" t="s">
        <v>5395</v>
      </c>
      <c r="CD292" s="18" t="s">
        <v>5127</v>
      </c>
      <c r="CE292" s="18" t="s">
        <v>111</v>
      </c>
      <c r="CF292" s="18" t="s">
        <v>5135</v>
      </c>
      <c r="CG292" s="18" t="s">
        <v>5935</v>
      </c>
      <c r="CH292" s="18" t="s">
        <v>111</v>
      </c>
      <c r="CI292" s="18" t="s">
        <v>5138</v>
      </c>
      <c r="CJ292" s="18" t="s">
        <v>5196</v>
      </c>
      <c r="CK292" s="18" t="s">
        <v>5171</v>
      </c>
      <c r="CL292" s="18">
        <v>2</v>
      </c>
      <c r="CM292" s="18">
        <v>0</v>
      </c>
      <c r="CN292" s="18">
        <v>0</v>
      </c>
      <c r="CO292" s="18">
        <v>1</v>
      </c>
      <c r="CP292" s="18">
        <v>0</v>
      </c>
      <c r="CQ292" s="18">
        <v>1</v>
      </c>
      <c r="CR292" s="18">
        <v>0</v>
      </c>
      <c r="CS292" s="18" t="s">
        <v>5141</v>
      </c>
      <c r="CT292" s="18">
        <v>1</v>
      </c>
      <c r="CU292" s="18">
        <v>1</v>
      </c>
      <c r="CV292" s="18">
        <v>1</v>
      </c>
      <c r="CX292" s="18">
        <v>0</v>
      </c>
      <c r="CY292" s="18">
        <v>0</v>
      </c>
      <c r="CZ292" s="18">
        <v>0</v>
      </c>
      <c r="DA292" s="18">
        <v>0</v>
      </c>
      <c r="DB292" s="18">
        <v>1</v>
      </c>
      <c r="DC292" s="18">
        <v>0</v>
      </c>
      <c r="DD292" s="18">
        <v>0</v>
      </c>
      <c r="DE292" s="18">
        <v>0</v>
      </c>
      <c r="DF292" s="18" t="s">
        <v>5141</v>
      </c>
      <c r="DG292" s="18">
        <v>0</v>
      </c>
      <c r="DH292" s="18">
        <v>0</v>
      </c>
      <c r="DI292" s="18" t="s">
        <v>5141</v>
      </c>
      <c r="DK292" s="18">
        <v>0</v>
      </c>
      <c r="DL292" s="18">
        <v>0</v>
      </c>
      <c r="DM292" s="18" t="s">
        <v>5127</v>
      </c>
      <c r="DN292" s="18" t="s">
        <v>5172</v>
      </c>
      <c r="DO292" s="18" t="s">
        <v>5259</v>
      </c>
      <c r="DP292" s="18" t="s">
        <v>113</v>
      </c>
      <c r="DS292" s="18">
        <v>0</v>
      </c>
      <c r="DT292" s="18">
        <v>0</v>
      </c>
      <c r="DU292" s="18">
        <v>1</v>
      </c>
      <c r="DV292" s="18" t="s">
        <v>5958</v>
      </c>
      <c r="DX292" s="18" t="s">
        <v>5145</v>
      </c>
      <c r="DY292" s="18" t="s">
        <v>113</v>
      </c>
      <c r="DZ292" s="18" t="s">
        <v>113</v>
      </c>
      <c r="EA292" s="18" t="s">
        <v>5586</v>
      </c>
      <c r="EB292" s="18">
        <v>613</v>
      </c>
      <c r="EC292" s="18" t="s">
        <v>106</v>
      </c>
      <c r="ED292" s="18" t="s">
        <v>5176</v>
      </c>
      <c r="EE292" s="18" t="s">
        <v>113</v>
      </c>
      <c r="EF292" s="18" t="s">
        <v>113</v>
      </c>
      <c r="EG292" s="18" t="s">
        <v>5148</v>
      </c>
      <c r="EH292" s="18" t="s">
        <v>5203</v>
      </c>
      <c r="EI292" s="18" t="s">
        <v>5204</v>
      </c>
      <c r="EJ292" s="18" t="s">
        <v>5530</v>
      </c>
      <c r="EK292" s="18" t="s">
        <v>113</v>
      </c>
      <c r="EN292" s="18" t="s">
        <v>113</v>
      </c>
      <c r="EO292" s="18" t="s">
        <v>113</v>
      </c>
      <c r="EP292" s="18" t="s">
        <v>113</v>
      </c>
      <c r="EQ292" s="18" t="s">
        <v>113</v>
      </c>
      <c r="ER292" s="18" t="s">
        <v>5152</v>
      </c>
      <c r="ES292" s="18" t="s">
        <v>5153</v>
      </c>
      <c r="ET292" s="18" t="s">
        <v>5154</v>
      </c>
      <c r="EW292" s="18" t="s">
        <v>6166</v>
      </c>
      <c r="EX292" s="18" t="s">
        <v>5158</v>
      </c>
      <c r="EY292" s="18" t="s">
        <v>5229</v>
      </c>
      <c r="EZ292" s="18" t="s">
        <v>5160</v>
      </c>
      <c r="FA292" s="18" t="s">
        <v>144</v>
      </c>
      <c r="FB292" s="18" t="s">
        <v>5161</v>
      </c>
    </row>
    <row r="293" spans="1:158" ht="10.5" customHeight="1" x14ac:dyDescent="0.2">
      <c r="A293" s="16">
        <v>41</v>
      </c>
      <c r="B293" s="16" t="s">
        <v>2694</v>
      </c>
      <c r="C293" s="16" t="s">
        <v>2693</v>
      </c>
      <c r="D293" s="16">
        <v>58140</v>
      </c>
      <c r="E293" s="16" t="s">
        <v>6658</v>
      </c>
      <c r="H293" s="15" t="s">
        <v>6661</v>
      </c>
      <c r="AT293" s="17">
        <f>(365*D293*0.7)/1000</f>
        <v>14854.769999999999</v>
      </c>
      <c r="AU293" s="17">
        <f t="shared" si="12"/>
        <v>0</v>
      </c>
      <c r="BW293" s="15">
        <f t="shared" si="13"/>
        <v>0</v>
      </c>
    </row>
    <row r="294" spans="1:158" ht="10.5" customHeight="1" x14ac:dyDescent="0.2">
      <c r="A294" s="16">
        <v>41</v>
      </c>
      <c r="B294" s="16" t="s">
        <v>2710</v>
      </c>
      <c r="C294" s="16" t="s">
        <v>2709</v>
      </c>
      <c r="D294" s="16">
        <v>5935</v>
      </c>
      <c r="E294" s="16" t="s">
        <v>6656</v>
      </c>
      <c r="F294" s="18" t="s">
        <v>2709</v>
      </c>
      <c r="G294" s="18" t="s">
        <v>113</v>
      </c>
      <c r="H294" s="15" t="s">
        <v>111</v>
      </c>
      <c r="AT294" s="17">
        <f>(365*D294*0.7)/1000</f>
        <v>1516.3924999999999</v>
      </c>
      <c r="AU294" s="17">
        <f t="shared" si="12"/>
        <v>0</v>
      </c>
      <c r="BW294" s="15">
        <f t="shared" si="13"/>
        <v>0</v>
      </c>
    </row>
    <row r="295" spans="1:158" ht="10.5" customHeight="1" x14ac:dyDescent="0.2">
      <c r="A295" s="16">
        <v>41</v>
      </c>
      <c r="B295" s="16" t="s">
        <v>2714</v>
      </c>
      <c r="C295" s="16" t="s">
        <v>2713</v>
      </c>
      <c r="D295" s="16">
        <v>44098</v>
      </c>
      <c r="E295" s="16" t="s">
        <v>6658</v>
      </c>
      <c r="F295" s="18" t="s">
        <v>2713</v>
      </c>
      <c r="G295" s="18" t="s">
        <v>106</v>
      </c>
      <c r="H295" s="15" t="s">
        <v>5127</v>
      </c>
      <c r="I295" s="18">
        <v>33</v>
      </c>
      <c r="J295" s="18">
        <v>19</v>
      </c>
      <c r="K295" s="18">
        <v>13</v>
      </c>
      <c r="L295" s="18">
        <v>1</v>
      </c>
      <c r="M295" s="18" t="s">
        <v>5183</v>
      </c>
      <c r="N295" s="18" t="s">
        <v>6167</v>
      </c>
      <c r="T295" s="18" t="s">
        <v>5122</v>
      </c>
      <c r="U295" s="18" t="s">
        <v>5185</v>
      </c>
      <c r="V295" s="18" t="s">
        <v>106</v>
      </c>
      <c r="W295" s="18" t="s">
        <v>5124</v>
      </c>
      <c r="Y295" s="18" t="s">
        <v>5574</v>
      </c>
      <c r="Z295" s="18" t="s">
        <v>106</v>
      </c>
      <c r="AA295" s="18" t="s">
        <v>5163</v>
      </c>
      <c r="AB295" s="18" t="s">
        <v>179</v>
      </c>
      <c r="AC295" s="18" t="s">
        <v>5127</v>
      </c>
      <c r="AD295" s="18" t="s">
        <v>5127</v>
      </c>
      <c r="AE295" s="18" t="s">
        <v>5127</v>
      </c>
      <c r="AF295" s="18" t="s">
        <v>5127</v>
      </c>
      <c r="AG295" s="18" t="s">
        <v>5127</v>
      </c>
      <c r="AH295" s="18" t="s">
        <v>5127</v>
      </c>
      <c r="AI295" s="18">
        <v>2</v>
      </c>
      <c r="AK295" s="18" t="s">
        <v>5145</v>
      </c>
      <c r="AN295" s="18">
        <v>1500</v>
      </c>
      <c r="AO295" s="18" t="s">
        <v>5863</v>
      </c>
      <c r="AP295" s="18" t="s">
        <v>6168</v>
      </c>
      <c r="AQ295" s="18" t="s">
        <v>5311</v>
      </c>
      <c r="AR295" s="18" t="s">
        <v>5355</v>
      </c>
      <c r="AT295" s="17">
        <f>(365*D295*0.7)/1000</f>
        <v>11267.039000000001</v>
      </c>
      <c r="AU295" s="17">
        <f t="shared" si="12"/>
        <v>1500</v>
      </c>
      <c r="AV295" s="18">
        <v>1500</v>
      </c>
      <c r="AW295" s="18">
        <v>0</v>
      </c>
      <c r="AY295" s="18" t="s">
        <v>164</v>
      </c>
      <c r="BG295" s="18" t="s">
        <v>6169</v>
      </c>
      <c r="BQ295" s="18">
        <v>400</v>
      </c>
      <c r="BR295" s="18">
        <v>250</v>
      </c>
      <c r="BS295" s="18">
        <v>150</v>
      </c>
      <c r="BT295" s="18">
        <v>150</v>
      </c>
      <c r="BU295" s="18">
        <v>0</v>
      </c>
      <c r="BV295" s="18">
        <f>SUM(BQ295:BU295)</f>
        <v>950</v>
      </c>
      <c r="BW295" s="15">
        <f t="shared" si="13"/>
        <v>950</v>
      </c>
      <c r="BY295" s="18" t="s">
        <v>6170</v>
      </c>
      <c r="BZ295" s="18" t="s">
        <v>193</v>
      </c>
      <c r="CD295" s="18" t="s">
        <v>5127</v>
      </c>
      <c r="CE295" s="18" t="s">
        <v>111</v>
      </c>
      <c r="CF295" s="18" t="s">
        <v>5135</v>
      </c>
      <c r="CG295" s="18" t="s">
        <v>6171</v>
      </c>
      <c r="CH295" s="18" t="s">
        <v>5241</v>
      </c>
      <c r="CI295" s="18" t="s">
        <v>5138</v>
      </c>
      <c r="CJ295" s="18" t="s">
        <v>5196</v>
      </c>
      <c r="CK295" s="18" t="s">
        <v>5637</v>
      </c>
      <c r="CL295" s="18">
        <v>4</v>
      </c>
      <c r="CM295" s="18">
        <v>0</v>
      </c>
      <c r="CN295" s="18">
        <v>0</v>
      </c>
      <c r="CO295" s="18">
        <v>1</v>
      </c>
      <c r="CP295" s="18">
        <v>2</v>
      </c>
      <c r="CQ295" s="18">
        <v>1</v>
      </c>
      <c r="CR295" s="18" t="s">
        <v>5141</v>
      </c>
      <c r="CS295" s="18" t="s">
        <v>5141</v>
      </c>
      <c r="CT295" s="18">
        <v>1</v>
      </c>
      <c r="CU295" s="18">
        <v>1</v>
      </c>
      <c r="CV295" s="18">
        <v>0</v>
      </c>
      <c r="CX295" s="18">
        <v>1</v>
      </c>
      <c r="CY295" s="18">
        <v>0</v>
      </c>
      <c r="CZ295" s="18">
        <v>1</v>
      </c>
      <c r="DA295" s="18">
        <v>1</v>
      </c>
      <c r="DB295" s="18">
        <v>1</v>
      </c>
      <c r="DC295" s="18">
        <v>1</v>
      </c>
      <c r="DD295" s="18">
        <v>0</v>
      </c>
      <c r="DE295" s="18" t="s">
        <v>5141</v>
      </c>
      <c r="DF295" s="18" t="s">
        <v>5141</v>
      </c>
      <c r="DG295" s="18">
        <v>1</v>
      </c>
      <c r="DH295" s="18">
        <v>0</v>
      </c>
      <c r="DI295" s="18">
        <v>0</v>
      </c>
      <c r="DK295" s="18">
        <v>1</v>
      </c>
      <c r="DL295" s="18">
        <v>1</v>
      </c>
      <c r="DM295" s="18" t="s">
        <v>111</v>
      </c>
      <c r="DN295" s="18" t="s">
        <v>5299</v>
      </c>
      <c r="DO295" s="18" t="s">
        <v>5371</v>
      </c>
      <c r="DP295" s="18" t="s">
        <v>106</v>
      </c>
      <c r="DQ295" s="18" t="s">
        <v>179</v>
      </c>
      <c r="DS295" s="18">
        <v>500</v>
      </c>
      <c r="DT295" s="18">
        <v>1</v>
      </c>
      <c r="DU295" s="18">
        <v>0</v>
      </c>
      <c r="DV295" s="18" t="s">
        <v>5342</v>
      </c>
      <c r="DX295" s="18" t="s">
        <v>5145</v>
      </c>
      <c r="DY295" s="18" t="s">
        <v>106</v>
      </c>
      <c r="DZ295" s="18" t="s">
        <v>106</v>
      </c>
      <c r="EA295" s="18" t="s">
        <v>5261</v>
      </c>
      <c r="EB295" s="18">
        <v>1000</v>
      </c>
      <c r="EC295" s="18" t="s">
        <v>113</v>
      </c>
      <c r="ED295" s="18" t="s">
        <v>5147</v>
      </c>
      <c r="EE295" s="18" t="s">
        <v>106</v>
      </c>
      <c r="EF295" s="18" t="s">
        <v>106</v>
      </c>
      <c r="EG295" s="18" t="s">
        <v>5148</v>
      </c>
      <c r="EH295" s="18" t="s">
        <v>5203</v>
      </c>
      <c r="EI295" s="18" t="s">
        <v>5150</v>
      </c>
      <c r="EJ295" s="18" t="s">
        <v>5245</v>
      </c>
      <c r="EK295" s="18" t="s">
        <v>113</v>
      </c>
      <c r="EL295" s="18" t="s">
        <v>6172</v>
      </c>
      <c r="EM295" s="18" t="s">
        <v>6173</v>
      </c>
      <c r="EN295" s="18" t="s">
        <v>106</v>
      </c>
      <c r="EO295" s="18" t="s">
        <v>113</v>
      </c>
      <c r="EP295" s="18" t="s">
        <v>106</v>
      </c>
      <c r="EQ295" s="18" t="s">
        <v>113</v>
      </c>
      <c r="ER295" s="18" t="s">
        <v>5206</v>
      </c>
      <c r="ES295" s="18" t="s">
        <v>5153</v>
      </c>
      <c r="ET295" s="18" t="s">
        <v>5154</v>
      </c>
      <c r="EU295" s="18" t="s">
        <v>5155</v>
      </c>
      <c r="EV295" s="18" t="s">
        <v>6174</v>
      </c>
      <c r="EW295" s="18" t="s">
        <v>5346</v>
      </c>
      <c r="EX295" s="18" t="s">
        <v>5158</v>
      </c>
      <c r="EY295" s="18" t="s">
        <v>5229</v>
      </c>
      <c r="EZ295" s="18" t="s">
        <v>5963</v>
      </c>
      <c r="FA295" s="18" t="s">
        <v>144</v>
      </c>
      <c r="FB295" s="18" t="s">
        <v>5161</v>
      </c>
    </row>
    <row r="296" spans="1:158" ht="10.5" customHeight="1" x14ac:dyDescent="0.2">
      <c r="A296" s="16">
        <v>41</v>
      </c>
      <c r="B296" s="16" t="s">
        <v>2728</v>
      </c>
      <c r="C296" s="16" t="s">
        <v>2727</v>
      </c>
      <c r="D296" s="16">
        <v>8774</v>
      </c>
      <c r="E296" s="16" t="s">
        <v>6656</v>
      </c>
      <c r="F296" s="18" t="s">
        <v>2727</v>
      </c>
      <c r="G296" s="18" t="s">
        <v>106</v>
      </c>
      <c r="H296" s="15" t="s">
        <v>5127</v>
      </c>
      <c r="I296" s="18">
        <v>4</v>
      </c>
      <c r="J296" s="18">
        <v>1</v>
      </c>
      <c r="K296" s="18">
        <v>3</v>
      </c>
      <c r="L296" s="18">
        <v>0</v>
      </c>
      <c r="M296" s="18" t="s">
        <v>5183</v>
      </c>
      <c r="N296" s="18">
        <v>177376</v>
      </c>
      <c r="O296" s="18">
        <v>46034</v>
      </c>
      <c r="T296" s="18" t="s">
        <v>111</v>
      </c>
      <c r="U296" s="18" t="s">
        <v>5250</v>
      </c>
      <c r="V296" s="18" t="s">
        <v>113</v>
      </c>
      <c r="W296" s="18" t="s">
        <v>113</v>
      </c>
      <c r="Y296" s="18" t="s">
        <v>5162</v>
      </c>
      <c r="Z296" s="18" t="s">
        <v>106</v>
      </c>
      <c r="AA296" s="18" t="s">
        <v>5163</v>
      </c>
      <c r="AB296" s="18" t="s">
        <v>5213</v>
      </c>
      <c r="AC296" s="18" t="s">
        <v>5127</v>
      </c>
      <c r="AD296" s="18" t="s">
        <v>5127</v>
      </c>
      <c r="AE296" s="18" t="s">
        <v>5127</v>
      </c>
      <c r="AF296" s="18" t="s">
        <v>5127</v>
      </c>
      <c r="AG296" s="18" t="s">
        <v>5127</v>
      </c>
      <c r="AH296" s="18" t="s">
        <v>5127</v>
      </c>
      <c r="AI296" s="18">
        <v>1</v>
      </c>
      <c r="AK296" s="18" t="s">
        <v>5424</v>
      </c>
      <c r="AN296" s="18">
        <v>98145</v>
      </c>
      <c r="AO296" s="18" t="s">
        <v>5186</v>
      </c>
      <c r="AP296" s="18" t="s">
        <v>6175</v>
      </c>
      <c r="AQ296" s="18" t="s">
        <v>5252</v>
      </c>
      <c r="AR296" s="18" t="s">
        <v>5168</v>
      </c>
      <c r="AT296" s="17">
        <f>(365*D296*0.7)/1000</f>
        <v>2241.7570000000001</v>
      </c>
      <c r="AU296" s="17">
        <f t="shared" si="12"/>
        <v>20</v>
      </c>
      <c r="AV296" s="18">
        <f>20000/1000</f>
        <v>20</v>
      </c>
      <c r="AW296" s="18">
        <v>0</v>
      </c>
      <c r="AY296" s="18" t="s">
        <v>164</v>
      </c>
      <c r="BG296" s="18" t="s">
        <v>5281</v>
      </c>
      <c r="BQ296" s="18">
        <f>38725/1000</f>
        <v>38.725000000000001</v>
      </c>
      <c r="BR296" s="18">
        <f>25191/1000</f>
        <v>25.190999999999999</v>
      </c>
      <c r="BS296" s="18">
        <f>9409/1000</f>
        <v>9.4090000000000007</v>
      </c>
      <c r="BT296" s="18">
        <f>4200/1000</f>
        <v>4.2</v>
      </c>
      <c r="BU296" s="18">
        <f>620/1000</f>
        <v>0.62</v>
      </c>
      <c r="BV296" s="18">
        <f>78145/1000</f>
        <v>78.144999999999996</v>
      </c>
      <c r="BW296" s="15">
        <f t="shared" si="13"/>
        <v>78.14500000000001</v>
      </c>
      <c r="BY296" s="18" t="s">
        <v>5134</v>
      </c>
      <c r="BZ296" s="18" t="s">
        <v>193</v>
      </c>
      <c r="CD296" s="18" t="s">
        <v>5127</v>
      </c>
      <c r="CE296" s="18" t="s">
        <v>111</v>
      </c>
      <c r="CF296" s="18" t="s">
        <v>5135</v>
      </c>
      <c r="CG296" s="18" t="s">
        <v>5420</v>
      </c>
      <c r="CH296" s="18" t="s">
        <v>111</v>
      </c>
      <c r="CI296" s="18" t="s">
        <v>111</v>
      </c>
      <c r="CJ296" s="18" t="s">
        <v>5139</v>
      </c>
      <c r="CK296" s="18" t="s">
        <v>5256</v>
      </c>
      <c r="CL296" s="18">
        <v>2</v>
      </c>
      <c r="CM296" s="18">
        <v>0</v>
      </c>
      <c r="CN296" s="18">
        <v>0</v>
      </c>
      <c r="CO296" s="18">
        <v>1</v>
      </c>
      <c r="CP296" s="18">
        <v>0</v>
      </c>
      <c r="CQ296" s="18">
        <v>1</v>
      </c>
      <c r="CR296" s="18">
        <v>0</v>
      </c>
      <c r="CS296" s="18">
        <v>0</v>
      </c>
      <c r="CT296" s="18">
        <v>0</v>
      </c>
      <c r="CU296" s="18">
        <v>0</v>
      </c>
      <c r="CV296" s="18">
        <v>1</v>
      </c>
      <c r="CX296" s="18">
        <v>0</v>
      </c>
      <c r="CY296" s="18">
        <v>0</v>
      </c>
      <c r="CZ296" s="18">
        <v>0</v>
      </c>
      <c r="DA296" s="18">
        <v>1</v>
      </c>
      <c r="DB296" s="18">
        <v>0</v>
      </c>
      <c r="DC296" s="18">
        <v>0</v>
      </c>
      <c r="DD296" s="18">
        <v>0</v>
      </c>
      <c r="DE296" s="18" t="s">
        <v>5141</v>
      </c>
      <c r="DF296" s="18">
        <v>0</v>
      </c>
      <c r="DG296" s="18">
        <v>1</v>
      </c>
      <c r="DH296" s="18">
        <v>0</v>
      </c>
      <c r="DI296" s="18">
        <v>0</v>
      </c>
      <c r="DK296" s="18">
        <v>0</v>
      </c>
      <c r="DL296" s="18">
        <v>0</v>
      </c>
      <c r="DM296" s="18" t="s">
        <v>5127</v>
      </c>
      <c r="DN296" s="18" t="s">
        <v>5172</v>
      </c>
      <c r="DO296" s="18" t="s">
        <v>5259</v>
      </c>
      <c r="DP296" s="18" t="s">
        <v>106</v>
      </c>
      <c r="DQ296" s="18" t="s">
        <v>5168</v>
      </c>
      <c r="DS296" s="18">
        <v>0</v>
      </c>
      <c r="DT296" s="18">
        <v>0</v>
      </c>
      <c r="DU296" s="18">
        <v>1</v>
      </c>
      <c r="DV296" s="18" t="s">
        <v>111</v>
      </c>
      <c r="DX296" s="18" t="s">
        <v>5222</v>
      </c>
      <c r="DY296" s="18" t="s">
        <v>106</v>
      </c>
      <c r="DZ296" s="18" t="s">
        <v>113</v>
      </c>
      <c r="EA296" s="18" t="s">
        <v>5202</v>
      </c>
      <c r="EB296" s="18">
        <v>78145</v>
      </c>
      <c r="EC296" s="18" t="s">
        <v>106</v>
      </c>
      <c r="ED296" s="18" t="s">
        <v>5176</v>
      </c>
      <c r="EE296" s="18" t="s">
        <v>113</v>
      </c>
      <c r="EF296" s="18" t="s">
        <v>113</v>
      </c>
      <c r="EG296" s="18" t="s">
        <v>5148</v>
      </c>
      <c r="EH296" s="18" t="s">
        <v>5203</v>
      </c>
      <c r="EI296" s="18" t="s">
        <v>5204</v>
      </c>
      <c r="EJ296" s="18" t="s">
        <v>5422</v>
      </c>
      <c r="EK296" s="18" t="s">
        <v>113</v>
      </c>
      <c r="EL296" s="18" t="s">
        <v>6176</v>
      </c>
      <c r="EM296" s="18" t="s">
        <v>5227</v>
      </c>
      <c r="EN296" s="18" t="s">
        <v>113</v>
      </c>
      <c r="EO296" s="18" t="s">
        <v>113</v>
      </c>
      <c r="EP296" s="18" t="s">
        <v>113</v>
      </c>
      <c r="EQ296" s="18" t="s">
        <v>113</v>
      </c>
      <c r="ER296" s="18" t="s">
        <v>5206</v>
      </c>
      <c r="ES296" s="18" t="s">
        <v>5153</v>
      </c>
      <c r="ET296" s="18" t="s">
        <v>5154</v>
      </c>
      <c r="EU296" s="18" t="s">
        <v>5155</v>
      </c>
      <c r="EV296" s="18" t="s">
        <v>6177</v>
      </c>
      <c r="EW296" s="18" t="s">
        <v>5346</v>
      </c>
      <c r="EX296" s="18" t="s">
        <v>5158</v>
      </c>
      <c r="EY296" s="18" t="s">
        <v>5229</v>
      </c>
      <c r="EZ296" s="18" t="s">
        <v>5160</v>
      </c>
      <c r="FA296" s="18" t="s">
        <v>144</v>
      </c>
      <c r="FB296" s="18" t="s">
        <v>5161</v>
      </c>
    </row>
    <row r="297" spans="1:158" ht="10.5" customHeight="1" x14ac:dyDescent="0.2">
      <c r="A297" s="16">
        <v>41</v>
      </c>
      <c r="B297" s="16" t="s">
        <v>2744</v>
      </c>
      <c r="C297" s="16" t="s">
        <v>2743</v>
      </c>
      <c r="D297" s="16">
        <v>7409</v>
      </c>
      <c r="E297" s="16" t="s">
        <v>6656</v>
      </c>
      <c r="F297" s="18" t="s">
        <v>2743</v>
      </c>
      <c r="G297" s="18" t="s">
        <v>106</v>
      </c>
      <c r="H297" s="15" t="s">
        <v>5127</v>
      </c>
      <c r="I297" s="18">
        <v>6</v>
      </c>
      <c r="J297" s="18">
        <v>4</v>
      </c>
      <c r="K297" s="18">
        <v>2</v>
      </c>
      <c r="L297" s="18">
        <v>0</v>
      </c>
      <c r="M297" s="18" t="s">
        <v>5121</v>
      </c>
      <c r="N297" s="18" t="s">
        <v>6178</v>
      </c>
      <c r="O297" s="18">
        <v>46645</v>
      </c>
      <c r="T297" s="18" t="s">
        <v>111</v>
      </c>
      <c r="U297" s="18" t="s">
        <v>5123</v>
      </c>
      <c r="V297" s="18" t="s">
        <v>113</v>
      </c>
      <c r="W297" s="18" t="s">
        <v>113</v>
      </c>
      <c r="Y297" s="18" t="s">
        <v>5407</v>
      </c>
      <c r="Z297" s="18" t="s">
        <v>113</v>
      </c>
      <c r="AA297" s="18" t="s">
        <v>5163</v>
      </c>
      <c r="AB297" s="18" t="s">
        <v>179</v>
      </c>
      <c r="AC297" s="18" t="s">
        <v>111</v>
      </c>
      <c r="AD297" s="18" t="s">
        <v>111</v>
      </c>
      <c r="AE297" s="18" t="s">
        <v>111</v>
      </c>
      <c r="AF297" s="18" t="s">
        <v>111</v>
      </c>
      <c r="AG297" s="18" t="s">
        <v>5127</v>
      </c>
      <c r="AH297" s="18" t="s">
        <v>111</v>
      </c>
      <c r="AI297" s="18">
        <v>1</v>
      </c>
      <c r="AK297" s="18" t="s">
        <v>5164</v>
      </c>
      <c r="AN297" s="18">
        <v>120</v>
      </c>
      <c r="AO297" s="18" t="s">
        <v>5129</v>
      </c>
      <c r="AP297" s="18" t="s">
        <v>6179</v>
      </c>
      <c r="AQ297" s="18" t="s">
        <v>5252</v>
      </c>
      <c r="AR297" s="18" t="s">
        <v>179</v>
      </c>
      <c r="AT297" s="17">
        <f>(365*D297*0.7)/1000</f>
        <v>1892.9994999999997</v>
      </c>
      <c r="AU297" s="17">
        <f t="shared" si="12"/>
        <v>0</v>
      </c>
      <c r="AV297" s="18">
        <v>0</v>
      </c>
      <c r="AW297" s="18">
        <v>0</v>
      </c>
      <c r="AY297" s="18" t="s">
        <v>164</v>
      </c>
      <c r="BG297" s="18" t="s">
        <v>164</v>
      </c>
      <c r="BQ297" s="18">
        <v>0</v>
      </c>
      <c r="BR297" s="18">
        <v>0</v>
      </c>
      <c r="BS297" s="18">
        <v>0</v>
      </c>
      <c r="BT297" s="18">
        <v>0</v>
      </c>
      <c r="BU297" s="18">
        <v>0</v>
      </c>
      <c r="BV297" s="18">
        <v>0</v>
      </c>
      <c r="BW297" s="15">
        <f t="shared" si="13"/>
        <v>0</v>
      </c>
      <c r="BY297" s="18" t="s">
        <v>5134</v>
      </c>
      <c r="BZ297" s="18" t="s">
        <v>193</v>
      </c>
      <c r="CD297" s="18" t="s">
        <v>5127</v>
      </c>
      <c r="CE297" s="18" t="s">
        <v>5127</v>
      </c>
      <c r="CF297" s="18" t="s">
        <v>5135</v>
      </c>
      <c r="CG297" s="18" t="s">
        <v>6180</v>
      </c>
      <c r="CH297" s="18" t="s">
        <v>111</v>
      </c>
      <c r="CI297" s="18" t="s">
        <v>111</v>
      </c>
      <c r="CJ297" s="18" t="s">
        <v>5139</v>
      </c>
      <c r="CK297" s="18" t="s">
        <v>5197</v>
      </c>
      <c r="CL297" s="18">
        <v>0</v>
      </c>
      <c r="CM297" s="18">
        <v>1</v>
      </c>
      <c r="CN297" s="18">
        <v>0</v>
      </c>
      <c r="CO297" s="18">
        <v>1</v>
      </c>
      <c r="CP297" s="18">
        <v>0</v>
      </c>
      <c r="CQ297" s="18">
        <v>1</v>
      </c>
      <c r="CR297" s="18">
        <v>0</v>
      </c>
      <c r="CS297" s="18">
        <v>1</v>
      </c>
      <c r="CT297" s="18">
        <v>1</v>
      </c>
      <c r="CU297" s="18">
        <v>0</v>
      </c>
      <c r="CV297" s="18">
        <v>1</v>
      </c>
      <c r="CX297" s="18">
        <v>1</v>
      </c>
      <c r="CY297" s="18">
        <v>1</v>
      </c>
      <c r="CZ297" s="18">
        <v>1</v>
      </c>
      <c r="DA297" s="18">
        <v>1</v>
      </c>
      <c r="DB297" s="18">
        <v>1</v>
      </c>
      <c r="DC297" s="18">
        <v>1</v>
      </c>
      <c r="DD297" s="18">
        <v>1</v>
      </c>
      <c r="DE297" s="18">
        <v>1</v>
      </c>
      <c r="DF297" s="18">
        <v>1</v>
      </c>
      <c r="DG297" s="18">
        <v>1</v>
      </c>
      <c r="DH297" s="18">
        <v>1</v>
      </c>
      <c r="DI297" s="18">
        <v>1</v>
      </c>
      <c r="DK297" s="18">
        <v>0</v>
      </c>
      <c r="DL297" s="18">
        <v>0</v>
      </c>
      <c r="DM297" s="18" t="s">
        <v>5127</v>
      </c>
      <c r="DN297" s="18" t="s">
        <v>5142</v>
      </c>
      <c r="DO297" s="18" t="s">
        <v>5259</v>
      </c>
      <c r="DP297" s="18" t="s">
        <v>113</v>
      </c>
      <c r="DS297" s="18">
        <v>0</v>
      </c>
      <c r="DT297" s="18">
        <v>0</v>
      </c>
      <c r="DU297" s="18">
        <v>1</v>
      </c>
      <c r="DV297" s="18" t="s">
        <v>111</v>
      </c>
      <c r="DX297" s="18" t="s">
        <v>5145</v>
      </c>
      <c r="DY297" s="18" t="s">
        <v>106</v>
      </c>
      <c r="DZ297" s="18" t="s">
        <v>113</v>
      </c>
      <c r="EA297" s="18" t="s">
        <v>5243</v>
      </c>
      <c r="EB297" s="18">
        <v>0</v>
      </c>
      <c r="EC297" s="18" t="s">
        <v>113</v>
      </c>
      <c r="ED297" s="18" t="s">
        <v>5147</v>
      </c>
      <c r="EE297" s="18" t="s">
        <v>113</v>
      </c>
      <c r="EF297" s="18" t="s">
        <v>113</v>
      </c>
      <c r="EG297" s="18" t="s">
        <v>5148</v>
      </c>
      <c r="EH297" s="18" t="s">
        <v>5149</v>
      </c>
      <c r="EI297" s="18" t="s">
        <v>5204</v>
      </c>
      <c r="EJ297" s="18" t="s">
        <v>6181</v>
      </c>
      <c r="EN297" s="18" t="s">
        <v>113</v>
      </c>
      <c r="EO297" s="18" t="s">
        <v>113</v>
      </c>
      <c r="EP297" s="18" t="s">
        <v>113</v>
      </c>
      <c r="EQ297" s="18" t="s">
        <v>113</v>
      </c>
      <c r="ER297" s="18" t="s">
        <v>5289</v>
      </c>
      <c r="ES297" s="18" t="s">
        <v>5317</v>
      </c>
      <c r="ET297" s="18" t="s">
        <v>5154</v>
      </c>
      <c r="EU297" s="18" t="s">
        <v>5155</v>
      </c>
      <c r="EV297" s="18" t="s">
        <v>5926</v>
      </c>
      <c r="EW297" s="18" t="s">
        <v>5346</v>
      </c>
      <c r="EX297" s="18" t="s">
        <v>5158</v>
      </c>
      <c r="EY297" s="18" t="s">
        <v>5229</v>
      </c>
      <c r="EZ297" s="18" t="s">
        <v>5308</v>
      </c>
      <c r="FA297" s="18" t="s">
        <v>144</v>
      </c>
      <c r="FB297" s="18" t="s">
        <v>5161</v>
      </c>
    </row>
    <row r="298" spans="1:158" ht="10.5" customHeight="1" x14ac:dyDescent="0.2">
      <c r="A298" s="16">
        <v>41</v>
      </c>
      <c r="B298" s="16" t="s">
        <v>2756</v>
      </c>
      <c r="C298" s="16" t="s">
        <v>2757</v>
      </c>
      <c r="D298" s="16">
        <v>9934</v>
      </c>
      <c r="E298" s="16" t="s">
        <v>6656</v>
      </c>
      <c r="H298" s="15" t="s">
        <v>6661</v>
      </c>
      <c r="AT298" s="17">
        <f>(365*D298*0.7)/1000</f>
        <v>2538.1370000000002</v>
      </c>
      <c r="AU298" s="17">
        <f t="shared" si="12"/>
        <v>0</v>
      </c>
      <c r="BW298" s="15">
        <f t="shared" si="13"/>
        <v>0</v>
      </c>
    </row>
    <row r="299" spans="1:158" ht="10.5" customHeight="1" x14ac:dyDescent="0.2">
      <c r="A299" s="16">
        <v>41</v>
      </c>
      <c r="B299" s="16" t="s">
        <v>2758</v>
      </c>
      <c r="C299" s="16" t="s">
        <v>359</v>
      </c>
      <c r="D299" s="16">
        <v>425983</v>
      </c>
      <c r="E299" s="16" t="s">
        <v>6659</v>
      </c>
      <c r="F299" s="18" t="s">
        <v>359</v>
      </c>
      <c r="G299" s="18" t="s">
        <v>106</v>
      </c>
      <c r="H299" s="15" t="s">
        <v>5127</v>
      </c>
      <c r="I299" s="18">
        <v>20</v>
      </c>
      <c r="J299" s="18">
        <v>13</v>
      </c>
      <c r="K299" s="18">
        <v>7</v>
      </c>
      <c r="M299" s="18" t="s">
        <v>5183</v>
      </c>
      <c r="N299" s="18" t="s">
        <v>6182</v>
      </c>
      <c r="T299" s="18" t="s">
        <v>5122</v>
      </c>
      <c r="U299" s="18" t="s">
        <v>5185</v>
      </c>
      <c r="V299" s="18" t="s">
        <v>106</v>
      </c>
      <c r="W299" s="18" t="s">
        <v>5124</v>
      </c>
      <c r="Y299" s="18" t="s">
        <v>5162</v>
      </c>
      <c r="Z299" s="18" t="s">
        <v>106</v>
      </c>
      <c r="AA299" s="18" t="s">
        <v>5163</v>
      </c>
      <c r="AC299" s="18" t="s">
        <v>5127</v>
      </c>
      <c r="AD299" s="18" t="s">
        <v>5127</v>
      </c>
      <c r="AE299" s="18" t="s">
        <v>5127</v>
      </c>
      <c r="AF299" s="18" t="s">
        <v>111</v>
      </c>
      <c r="AG299" s="18" t="s">
        <v>5127</v>
      </c>
      <c r="AH299" s="18" t="s">
        <v>5127</v>
      </c>
      <c r="AI299" s="18">
        <v>1</v>
      </c>
      <c r="AK299" s="18" t="s">
        <v>5164</v>
      </c>
      <c r="AN299" s="18">
        <v>472</v>
      </c>
      <c r="AO299" s="18" t="s">
        <v>5186</v>
      </c>
      <c r="AP299" s="18" t="s">
        <v>6183</v>
      </c>
      <c r="AQ299" s="18" t="s">
        <v>5252</v>
      </c>
      <c r="AR299" s="18" t="s">
        <v>5168</v>
      </c>
      <c r="AT299" s="17">
        <f>(365*D299*0.7)/1000</f>
        <v>108838.6565</v>
      </c>
      <c r="AU299" s="17">
        <f t="shared" si="12"/>
        <v>112</v>
      </c>
      <c r="AV299" s="18">
        <v>112</v>
      </c>
      <c r="AW299" s="18">
        <v>0</v>
      </c>
      <c r="AY299" s="18" t="s">
        <v>6184</v>
      </c>
      <c r="BG299" s="18" t="s">
        <v>5133</v>
      </c>
      <c r="BQ299" s="18">
        <v>0</v>
      </c>
      <c r="BR299" s="18">
        <v>0</v>
      </c>
      <c r="BS299" s="18">
        <v>0</v>
      </c>
      <c r="BT299" s="18">
        <v>0</v>
      </c>
      <c r="BU299" s="18">
        <v>0</v>
      </c>
      <c r="BV299" s="18">
        <v>0</v>
      </c>
      <c r="BW299" s="15">
        <f t="shared" si="13"/>
        <v>0</v>
      </c>
      <c r="BY299" s="18" t="s">
        <v>5134</v>
      </c>
      <c r="BZ299" s="18" t="s">
        <v>6185</v>
      </c>
      <c r="CD299" s="18" t="s">
        <v>5127</v>
      </c>
      <c r="CE299" s="18" t="s">
        <v>111</v>
      </c>
      <c r="CF299" s="18" t="s">
        <v>5135</v>
      </c>
      <c r="CG299" s="18" t="s">
        <v>5465</v>
      </c>
      <c r="CH299" s="18" t="s">
        <v>5194</v>
      </c>
      <c r="CI299" s="18" t="s">
        <v>5195</v>
      </c>
      <c r="CJ299" s="18" t="s">
        <v>5196</v>
      </c>
      <c r="CK299" s="18" t="s">
        <v>5197</v>
      </c>
      <c r="CL299" s="18">
        <v>2</v>
      </c>
      <c r="CM299" s="18">
        <v>0</v>
      </c>
      <c r="CN299" s="18">
        <v>0</v>
      </c>
      <c r="CO299" s="18">
        <v>2</v>
      </c>
      <c r="CP299" s="18">
        <v>1</v>
      </c>
      <c r="CQ299" s="18">
        <v>1</v>
      </c>
      <c r="CR299" s="18" t="s">
        <v>5141</v>
      </c>
      <c r="CS299" s="18" t="s">
        <v>5141</v>
      </c>
      <c r="CT299" s="18">
        <v>0</v>
      </c>
      <c r="CU299" s="18">
        <v>0</v>
      </c>
      <c r="CV299" s="18">
        <v>0</v>
      </c>
      <c r="CX299" s="18">
        <v>1</v>
      </c>
      <c r="CY299" s="18">
        <v>0</v>
      </c>
      <c r="CZ299" s="18">
        <v>1</v>
      </c>
      <c r="DA299" s="18">
        <v>1</v>
      </c>
      <c r="DB299" s="18">
        <v>1</v>
      </c>
      <c r="DC299" s="18">
        <v>1</v>
      </c>
      <c r="DD299" s="18">
        <v>1</v>
      </c>
      <c r="DE299" s="18" t="s">
        <v>5141</v>
      </c>
      <c r="DF299" s="18" t="s">
        <v>5141</v>
      </c>
      <c r="DG299" s="18">
        <v>1</v>
      </c>
      <c r="DH299" s="18">
        <v>0</v>
      </c>
      <c r="DI299" s="18" t="s">
        <v>5141</v>
      </c>
      <c r="DK299" s="18">
        <v>0</v>
      </c>
      <c r="DL299" s="18">
        <v>1</v>
      </c>
      <c r="DM299" s="18" t="s">
        <v>5127</v>
      </c>
      <c r="DN299" s="18" t="s">
        <v>5172</v>
      </c>
      <c r="DO299" s="18" t="s">
        <v>5259</v>
      </c>
      <c r="DP299" s="18" t="s">
        <v>113</v>
      </c>
      <c r="DS299" s="18">
        <v>0</v>
      </c>
      <c r="DT299" s="18">
        <v>1</v>
      </c>
      <c r="DU299" s="18">
        <v>1</v>
      </c>
      <c r="DV299" s="18" t="s">
        <v>5260</v>
      </c>
      <c r="DX299" s="18" t="s">
        <v>5222</v>
      </c>
      <c r="DY299" s="18" t="s">
        <v>106</v>
      </c>
      <c r="DZ299" s="18" t="s">
        <v>106</v>
      </c>
      <c r="EA299" s="18" t="s">
        <v>6032</v>
      </c>
      <c r="EB299" s="18">
        <v>360</v>
      </c>
      <c r="EC299" s="18" t="s">
        <v>113</v>
      </c>
      <c r="ED299" s="18" t="s">
        <v>5147</v>
      </c>
      <c r="EE299" s="18" t="s">
        <v>106</v>
      </c>
      <c r="EF299" s="18" t="s">
        <v>106</v>
      </c>
      <c r="EH299" s="18" t="s">
        <v>5203</v>
      </c>
      <c r="EI299" s="18" t="s">
        <v>5150</v>
      </c>
      <c r="EJ299" s="18" t="s">
        <v>6014</v>
      </c>
      <c r="EN299" s="18" t="s">
        <v>113</v>
      </c>
      <c r="EX299" s="18" t="s">
        <v>5158</v>
      </c>
      <c r="EY299" s="18" t="s">
        <v>5248</v>
      </c>
      <c r="FA299" s="18" t="s">
        <v>144</v>
      </c>
      <c r="FB299" s="18" t="s">
        <v>5161</v>
      </c>
    </row>
    <row r="300" spans="1:158" ht="10.5" customHeight="1" x14ac:dyDescent="0.2">
      <c r="A300" s="16">
        <v>41</v>
      </c>
      <c r="B300" s="16" t="s">
        <v>2758</v>
      </c>
      <c r="C300" s="16" t="s">
        <v>359</v>
      </c>
      <c r="D300" s="16">
        <v>425983</v>
      </c>
      <c r="E300" s="16" t="s">
        <v>6659</v>
      </c>
      <c r="F300" s="18" t="s">
        <v>359</v>
      </c>
      <c r="G300" s="18" t="s">
        <v>106</v>
      </c>
      <c r="H300" s="15" t="s">
        <v>5127</v>
      </c>
      <c r="I300" s="18">
        <v>23</v>
      </c>
      <c r="J300" s="18">
        <v>10</v>
      </c>
      <c r="K300" s="18">
        <v>13</v>
      </c>
      <c r="M300" s="18" t="s">
        <v>5183</v>
      </c>
      <c r="N300" s="18">
        <v>341496</v>
      </c>
      <c r="T300" s="18" t="s">
        <v>6186</v>
      </c>
      <c r="U300" s="18" t="s">
        <v>5185</v>
      </c>
      <c r="V300" s="18" t="s">
        <v>106</v>
      </c>
      <c r="W300" s="18" t="s">
        <v>5124</v>
      </c>
      <c r="Y300" s="18" t="s">
        <v>5162</v>
      </c>
      <c r="Z300" s="18" t="s">
        <v>106</v>
      </c>
      <c r="AA300" s="18" t="s">
        <v>5163</v>
      </c>
      <c r="AC300" s="18" t="s">
        <v>5127</v>
      </c>
      <c r="AD300" s="18" t="s">
        <v>5127</v>
      </c>
      <c r="AE300" s="18" t="s">
        <v>5127</v>
      </c>
      <c r="AF300" s="18" t="s">
        <v>5127</v>
      </c>
      <c r="AG300" s="18" t="s">
        <v>5127</v>
      </c>
      <c r="AH300" s="18" t="s">
        <v>5127</v>
      </c>
      <c r="AI300" s="18">
        <v>1</v>
      </c>
      <c r="AK300" s="18" t="s">
        <v>5164</v>
      </c>
      <c r="AN300" s="18">
        <v>989</v>
      </c>
      <c r="AO300" s="18" t="s">
        <v>5186</v>
      </c>
      <c r="AP300" s="18" t="s">
        <v>6187</v>
      </c>
      <c r="AQ300" s="18" t="s">
        <v>5719</v>
      </c>
      <c r="AR300" s="18" t="s">
        <v>5168</v>
      </c>
      <c r="AT300" s="17">
        <f>(365*D300*0.7)/1000</f>
        <v>108838.6565</v>
      </c>
      <c r="AU300" s="17">
        <f t="shared" si="12"/>
        <v>216</v>
      </c>
      <c r="AV300" s="18">
        <v>216</v>
      </c>
      <c r="AW300" s="18">
        <v>0</v>
      </c>
      <c r="AY300" s="18" t="s">
        <v>5334</v>
      </c>
      <c r="BG300" s="18" t="s">
        <v>5281</v>
      </c>
      <c r="BQ300" s="18">
        <v>0</v>
      </c>
      <c r="BR300" s="18">
        <v>0</v>
      </c>
      <c r="BS300" s="18">
        <v>0</v>
      </c>
      <c r="BT300" s="18">
        <v>0</v>
      </c>
      <c r="BU300" s="18">
        <v>0</v>
      </c>
      <c r="BV300" s="18">
        <v>773</v>
      </c>
      <c r="BW300" s="15">
        <f t="shared" si="13"/>
        <v>0</v>
      </c>
      <c r="BY300" s="18" t="s">
        <v>5134</v>
      </c>
      <c r="BZ300" s="18" t="s">
        <v>5816</v>
      </c>
      <c r="CD300" s="18" t="s">
        <v>5127</v>
      </c>
      <c r="CE300" s="18" t="s">
        <v>111</v>
      </c>
      <c r="CF300" s="18" t="s">
        <v>5135</v>
      </c>
      <c r="CG300" s="18" t="s">
        <v>6188</v>
      </c>
      <c r="CH300" s="18" t="s">
        <v>5194</v>
      </c>
      <c r="CI300" s="18" t="s">
        <v>5195</v>
      </c>
      <c r="CJ300" s="18" t="s">
        <v>5196</v>
      </c>
      <c r="CK300" s="18" t="s">
        <v>5625</v>
      </c>
      <c r="CL300" s="18">
        <v>3</v>
      </c>
      <c r="CM300" s="18">
        <v>0</v>
      </c>
      <c r="CN300" s="18">
        <v>1</v>
      </c>
      <c r="CO300" s="18">
        <v>1</v>
      </c>
      <c r="CP300" s="18">
        <v>1</v>
      </c>
      <c r="CQ300" s="18">
        <v>2</v>
      </c>
      <c r="CR300" s="18">
        <v>0</v>
      </c>
      <c r="CS300" s="18" t="s">
        <v>5141</v>
      </c>
      <c r="CT300" s="18">
        <v>0</v>
      </c>
      <c r="CU300" s="18">
        <v>0</v>
      </c>
      <c r="CV300" s="18">
        <v>4</v>
      </c>
      <c r="CX300" s="18">
        <v>1</v>
      </c>
      <c r="CY300" s="18">
        <v>0</v>
      </c>
      <c r="CZ300" s="18">
        <v>1</v>
      </c>
      <c r="DA300" s="18">
        <v>1</v>
      </c>
      <c r="DB300" s="18">
        <v>0</v>
      </c>
      <c r="DC300" s="18">
        <v>1</v>
      </c>
      <c r="DD300" s="18">
        <v>1</v>
      </c>
      <c r="DE300" s="18">
        <v>0</v>
      </c>
      <c r="DF300" s="18" t="s">
        <v>5141</v>
      </c>
      <c r="DG300" s="18">
        <v>1</v>
      </c>
      <c r="DH300" s="18">
        <v>1</v>
      </c>
      <c r="DI300" s="18">
        <v>2</v>
      </c>
      <c r="DK300" s="18">
        <v>0</v>
      </c>
      <c r="DL300" s="18">
        <v>1</v>
      </c>
      <c r="DM300" s="18" t="s">
        <v>5127</v>
      </c>
      <c r="DN300" s="18" t="s">
        <v>5172</v>
      </c>
      <c r="DO300" s="18" t="s">
        <v>5300</v>
      </c>
      <c r="DP300" s="18" t="s">
        <v>113</v>
      </c>
      <c r="DS300" s="18">
        <v>0</v>
      </c>
      <c r="DT300" s="18">
        <v>1</v>
      </c>
      <c r="DU300" s="18">
        <v>1</v>
      </c>
      <c r="DV300" s="18" t="s">
        <v>5444</v>
      </c>
      <c r="DX300" s="18" t="s">
        <v>5222</v>
      </c>
      <c r="DY300" s="18" t="s">
        <v>106</v>
      </c>
      <c r="DZ300" s="18" t="s">
        <v>106</v>
      </c>
      <c r="EA300" s="18" t="s">
        <v>5261</v>
      </c>
      <c r="EB300" s="18">
        <v>773</v>
      </c>
      <c r="EC300" s="18" t="s">
        <v>106</v>
      </c>
      <c r="ED300" s="18" t="s">
        <v>5147</v>
      </c>
      <c r="EE300" s="18" t="s">
        <v>106</v>
      </c>
      <c r="EF300" s="18" t="s">
        <v>106</v>
      </c>
      <c r="EH300" s="18" t="s">
        <v>5203</v>
      </c>
      <c r="EI300" s="18" t="s">
        <v>5204</v>
      </c>
      <c r="EJ300" s="18" t="s">
        <v>5387</v>
      </c>
      <c r="EN300" s="18" t="s">
        <v>113</v>
      </c>
      <c r="ET300" s="18" t="s">
        <v>5154</v>
      </c>
      <c r="EX300" s="18" t="s">
        <v>5158</v>
      </c>
      <c r="EY300" s="18" t="s">
        <v>5248</v>
      </c>
      <c r="FA300" s="18" t="s">
        <v>144</v>
      </c>
      <c r="FB300" s="18" t="s">
        <v>5161</v>
      </c>
    </row>
    <row r="301" spans="1:158" ht="10.5" customHeight="1" x14ac:dyDescent="0.2">
      <c r="A301" s="16">
        <v>41</v>
      </c>
      <c r="B301" s="16" t="s">
        <v>2758</v>
      </c>
      <c r="C301" s="16" t="s">
        <v>359</v>
      </c>
      <c r="D301" s="16">
        <v>425983</v>
      </c>
      <c r="E301" s="16" t="s">
        <v>6659</v>
      </c>
      <c r="F301" s="18" t="s">
        <v>359</v>
      </c>
      <c r="G301" s="18" t="s">
        <v>106</v>
      </c>
      <c r="H301" s="15" t="s">
        <v>5127</v>
      </c>
      <c r="I301" s="18">
        <v>36</v>
      </c>
      <c r="J301" s="18">
        <v>19</v>
      </c>
      <c r="K301" s="18">
        <v>17</v>
      </c>
      <c r="M301" s="18" t="s">
        <v>5230</v>
      </c>
      <c r="N301" s="18" t="s">
        <v>6189</v>
      </c>
      <c r="T301" s="18" t="s">
        <v>6190</v>
      </c>
      <c r="U301" s="18" t="s">
        <v>5185</v>
      </c>
      <c r="V301" s="18" t="s">
        <v>106</v>
      </c>
      <c r="W301" s="18" t="s">
        <v>5124</v>
      </c>
      <c r="Y301" s="18" t="s">
        <v>5555</v>
      </c>
      <c r="Z301" s="18" t="s">
        <v>106</v>
      </c>
      <c r="AA301" s="18" t="s">
        <v>5163</v>
      </c>
      <c r="AC301" s="18" t="s">
        <v>5127</v>
      </c>
      <c r="AD301" s="18" t="s">
        <v>5127</v>
      </c>
      <c r="AE301" s="18" t="s">
        <v>5127</v>
      </c>
      <c r="AF301" s="18" t="s">
        <v>5127</v>
      </c>
      <c r="AG301" s="18" t="s">
        <v>5127</v>
      </c>
      <c r="AH301" s="18" t="s">
        <v>5127</v>
      </c>
      <c r="AI301" s="18">
        <v>3</v>
      </c>
      <c r="AK301" s="18" t="s">
        <v>5128</v>
      </c>
      <c r="AN301" s="18">
        <v>2090</v>
      </c>
      <c r="AO301" s="18" t="s">
        <v>5186</v>
      </c>
      <c r="AP301" s="18" t="s">
        <v>6191</v>
      </c>
      <c r="AQ301" s="18" t="s">
        <v>5393</v>
      </c>
      <c r="AR301" s="18" t="s">
        <v>5168</v>
      </c>
      <c r="AT301" s="17">
        <f>(365*D301*0.7)/1000</f>
        <v>108838.6565</v>
      </c>
      <c r="AU301" s="17">
        <f t="shared" si="12"/>
        <v>541</v>
      </c>
      <c r="AV301" s="18">
        <v>541</v>
      </c>
      <c r="AW301" s="18">
        <v>0</v>
      </c>
      <c r="AY301" s="18" t="s">
        <v>5334</v>
      </c>
      <c r="BG301" s="18" t="s">
        <v>5281</v>
      </c>
      <c r="BQ301" s="18">
        <v>0</v>
      </c>
      <c r="BR301" s="18">
        <v>0</v>
      </c>
      <c r="BS301" s="18">
        <v>0</v>
      </c>
      <c r="BT301" s="18">
        <v>0</v>
      </c>
      <c r="BU301" s="18">
        <v>0</v>
      </c>
      <c r="BV301" s="18">
        <v>1549</v>
      </c>
      <c r="BW301" s="15">
        <f t="shared" si="13"/>
        <v>0</v>
      </c>
      <c r="BY301" s="18" t="s">
        <v>5134</v>
      </c>
      <c r="BZ301" s="18" t="s">
        <v>6192</v>
      </c>
      <c r="CD301" s="18" t="s">
        <v>5127</v>
      </c>
      <c r="CE301" s="18" t="s">
        <v>5127</v>
      </c>
      <c r="CF301" s="18" t="s">
        <v>5135</v>
      </c>
      <c r="CG301" s="18" t="s">
        <v>5193</v>
      </c>
      <c r="CH301" s="18" t="s">
        <v>5194</v>
      </c>
      <c r="CI301" s="18" t="s">
        <v>5195</v>
      </c>
      <c r="CJ301" s="18" t="s">
        <v>5680</v>
      </c>
      <c r="CK301" s="18" t="s">
        <v>5197</v>
      </c>
      <c r="CL301" s="18">
        <v>4</v>
      </c>
      <c r="CM301" s="18">
        <v>0</v>
      </c>
      <c r="CN301" s="18">
        <v>0</v>
      </c>
      <c r="CO301" s="18">
        <v>1</v>
      </c>
      <c r="CP301" s="18">
        <v>0</v>
      </c>
      <c r="CQ301" s="18">
        <v>1</v>
      </c>
      <c r="CR301" s="18">
        <v>0</v>
      </c>
      <c r="CS301" s="18" t="s">
        <v>5141</v>
      </c>
      <c r="CT301" s="18">
        <v>0</v>
      </c>
      <c r="CU301" s="18">
        <v>0</v>
      </c>
      <c r="CV301" s="18">
        <v>3</v>
      </c>
      <c r="CX301" s="18">
        <v>0</v>
      </c>
      <c r="CY301" s="18">
        <v>0</v>
      </c>
      <c r="CZ301" s="18">
        <v>0</v>
      </c>
      <c r="DA301" s="18">
        <v>0</v>
      </c>
      <c r="DB301" s="18">
        <v>0</v>
      </c>
      <c r="DC301" s="18">
        <v>0</v>
      </c>
      <c r="DD301" s="18">
        <v>0</v>
      </c>
      <c r="DE301" s="18">
        <v>0</v>
      </c>
      <c r="DF301" s="18">
        <v>0</v>
      </c>
      <c r="DG301" s="18">
        <v>1</v>
      </c>
      <c r="DH301" s="18">
        <v>0</v>
      </c>
      <c r="DI301" s="18">
        <v>0</v>
      </c>
      <c r="DK301" s="18">
        <v>0</v>
      </c>
      <c r="DL301" s="18">
        <v>1</v>
      </c>
      <c r="DM301" s="18" t="s">
        <v>5127</v>
      </c>
      <c r="DN301" s="18" t="s">
        <v>5172</v>
      </c>
      <c r="DO301" s="18" t="s">
        <v>5315</v>
      </c>
      <c r="DP301" s="18" t="s">
        <v>113</v>
      </c>
      <c r="DS301" s="18">
        <v>0</v>
      </c>
      <c r="DT301" s="18">
        <v>1</v>
      </c>
      <c r="DU301" s="18">
        <v>0</v>
      </c>
      <c r="DV301" s="18" t="s">
        <v>5951</v>
      </c>
      <c r="DX301" s="18" t="s">
        <v>5201</v>
      </c>
      <c r="DY301" s="18" t="s">
        <v>106</v>
      </c>
      <c r="DZ301" s="18" t="s">
        <v>106</v>
      </c>
      <c r="EA301" s="18" t="s">
        <v>5146</v>
      </c>
      <c r="EB301" s="18">
        <v>1549</v>
      </c>
      <c r="EC301" s="18" t="s">
        <v>106</v>
      </c>
      <c r="ED301" s="18" t="s">
        <v>5147</v>
      </c>
      <c r="EE301" s="18" t="s">
        <v>106</v>
      </c>
      <c r="EF301" s="18" t="s">
        <v>106</v>
      </c>
      <c r="EH301" s="18" t="s">
        <v>5203</v>
      </c>
      <c r="EI301" s="18" t="s">
        <v>5204</v>
      </c>
      <c r="EJ301" s="18" t="s">
        <v>5387</v>
      </c>
      <c r="EN301" s="18" t="s">
        <v>113</v>
      </c>
      <c r="EX301" s="18" t="s">
        <v>5158</v>
      </c>
      <c r="EY301" s="18" t="s">
        <v>5229</v>
      </c>
      <c r="FA301" s="18" t="s">
        <v>144</v>
      </c>
      <c r="FB301" s="18" t="s">
        <v>5161</v>
      </c>
    </row>
    <row r="302" spans="1:158" ht="10.5" customHeight="1" x14ac:dyDescent="0.2">
      <c r="A302" s="16">
        <v>41</v>
      </c>
      <c r="B302" s="16" t="s">
        <v>2758</v>
      </c>
      <c r="C302" s="16" t="s">
        <v>359</v>
      </c>
      <c r="D302" s="16">
        <v>425983</v>
      </c>
      <c r="E302" s="16" t="s">
        <v>6659</v>
      </c>
      <c r="F302" s="18" t="s">
        <v>359</v>
      </c>
      <c r="G302" s="18" t="s">
        <v>106</v>
      </c>
      <c r="H302" s="15" t="s">
        <v>5127</v>
      </c>
      <c r="I302" s="18">
        <v>35</v>
      </c>
      <c r="J302" s="18">
        <v>13</v>
      </c>
      <c r="K302" s="18">
        <v>22</v>
      </c>
      <c r="M302" s="18" t="s">
        <v>5230</v>
      </c>
      <c r="N302" s="18" t="s">
        <v>6193</v>
      </c>
      <c r="T302" s="18" t="s">
        <v>5532</v>
      </c>
      <c r="U302" s="18" t="s">
        <v>5185</v>
      </c>
      <c r="V302" s="18" t="s">
        <v>106</v>
      </c>
      <c r="W302" s="18" t="s">
        <v>5124</v>
      </c>
      <c r="Y302" s="18" t="s">
        <v>6194</v>
      </c>
      <c r="Z302" s="18" t="s">
        <v>106</v>
      </c>
      <c r="AA302" s="18" t="s">
        <v>5163</v>
      </c>
      <c r="AC302" s="18" t="s">
        <v>5127</v>
      </c>
      <c r="AD302" s="18" t="s">
        <v>5127</v>
      </c>
      <c r="AE302" s="18" t="s">
        <v>5127</v>
      </c>
      <c r="AF302" s="18" t="s">
        <v>5127</v>
      </c>
      <c r="AG302" s="18" t="s">
        <v>5127</v>
      </c>
      <c r="AH302" s="18" t="s">
        <v>5127</v>
      </c>
      <c r="AI302" s="18">
        <v>2</v>
      </c>
      <c r="AK302" s="18" t="s">
        <v>5279</v>
      </c>
      <c r="AN302" s="18">
        <v>2703</v>
      </c>
      <c r="AO302" s="18" t="s">
        <v>5186</v>
      </c>
      <c r="AP302" s="18" t="s">
        <v>6195</v>
      </c>
      <c r="AQ302" s="18" t="s">
        <v>5311</v>
      </c>
      <c r="AR302" s="18" t="s">
        <v>5168</v>
      </c>
      <c r="AT302" s="17">
        <f>(365*D302*0.7)/1000</f>
        <v>108838.6565</v>
      </c>
      <c r="AU302" s="17">
        <f t="shared" si="12"/>
        <v>576</v>
      </c>
      <c r="AV302" s="18">
        <v>576</v>
      </c>
      <c r="AW302" s="18">
        <v>0</v>
      </c>
      <c r="AY302" s="18" t="s">
        <v>5334</v>
      </c>
      <c r="BG302" s="18" t="s">
        <v>5426</v>
      </c>
      <c r="BQ302" s="18">
        <v>0</v>
      </c>
      <c r="BR302" s="18">
        <v>0</v>
      </c>
      <c r="BS302" s="18">
        <v>0</v>
      </c>
      <c r="BT302" s="18">
        <v>0</v>
      </c>
      <c r="BU302" s="18">
        <v>0</v>
      </c>
      <c r="BV302" s="18">
        <v>2127</v>
      </c>
      <c r="BW302" s="15">
        <f t="shared" si="13"/>
        <v>0</v>
      </c>
      <c r="BY302" s="18" t="s">
        <v>5134</v>
      </c>
      <c r="BZ302" s="18" t="s">
        <v>5395</v>
      </c>
      <c r="CD302" s="18" t="s">
        <v>5127</v>
      </c>
      <c r="CE302" s="18" t="s">
        <v>5127</v>
      </c>
      <c r="CF302" s="18" t="s">
        <v>5282</v>
      </c>
      <c r="CG302" s="18" t="s">
        <v>5193</v>
      </c>
      <c r="CH302" s="18" t="s">
        <v>5194</v>
      </c>
      <c r="CI302" s="18" t="s">
        <v>5195</v>
      </c>
      <c r="CJ302" s="18" t="s">
        <v>5196</v>
      </c>
      <c r="CK302" s="18" t="s">
        <v>5197</v>
      </c>
      <c r="CL302" s="18">
        <v>5</v>
      </c>
      <c r="CM302" s="18">
        <v>1</v>
      </c>
      <c r="CN302" s="18">
        <v>0</v>
      </c>
      <c r="CO302" s="18">
        <v>3</v>
      </c>
      <c r="CP302" s="18">
        <v>1</v>
      </c>
      <c r="CQ302" s="18">
        <v>1</v>
      </c>
      <c r="CR302" s="18">
        <v>0</v>
      </c>
      <c r="CS302" s="18" t="s">
        <v>5141</v>
      </c>
      <c r="CT302" s="18">
        <v>0</v>
      </c>
      <c r="CU302" s="18">
        <v>0</v>
      </c>
      <c r="CV302" s="18">
        <v>4</v>
      </c>
      <c r="CX302" s="18">
        <v>0</v>
      </c>
      <c r="CY302" s="18">
        <v>0</v>
      </c>
      <c r="CZ302" s="18">
        <v>1</v>
      </c>
      <c r="DA302" s="18">
        <v>1</v>
      </c>
      <c r="DB302" s="18">
        <v>0</v>
      </c>
      <c r="DC302" s="18">
        <v>1</v>
      </c>
      <c r="DD302" s="18">
        <v>0</v>
      </c>
      <c r="DE302" s="18">
        <v>0</v>
      </c>
      <c r="DF302" s="18">
        <v>0</v>
      </c>
      <c r="DG302" s="18">
        <v>1</v>
      </c>
      <c r="DH302" s="18">
        <v>0</v>
      </c>
      <c r="DI302" s="18">
        <v>0</v>
      </c>
      <c r="DK302" s="18">
        <v>1</v>
      </c>
      <c r="DL302" s="18">
        <v>0</v>
      </c>
      <c r="DM302" s="18" t="s">
        <v>5127</v>
      </c>
      <c r="DN302" s="18" t="s">
        <v>5314</v>
      </c>
      <c r="DO302" s="18" t="s">
        <v>5315</v>
      </c>
      <c r="DP302" s="18" t="s">
        <v>113</v>
      </c>
      <c r="DS302" s="18">
        <v>0</v>
      </c>
      <c r="DT302" s="18">
        <v>0</v>
      </c>
      <c r="DU302" s="18">
        <v>0</v>
      </c>
      <c r="DV302" s="18" t="s">
        <v>5260</v>
      </c>
      <c r="DX302" s="18" t="s">
        <v>5201</v>
      </c>
      <c r="DY302" s="18" t="s">
        <v>106</v>
      </c>
      <c r="DZ302" s="18" t="s">
        <v>106</v>
      </c>
      <c r="EA302" s="18" t="s">
        <v>6032</v>
      </c>
      <c r="EB302" s="18">
        <v>2127</v>
      </c>
      <c r="EC302" s="18" t="s">
        <v>106</v>
      </c>
      <c r="ED302" s="18" t="s">
        <v>5147</v>
      </c>
      <c r="EE302" s="18" t="s">
        <v>106</v>
      </c>
      <c r="EF302" s="18" t="s">
        <v>106</v>
      </c>
      <c r="EH302" s="18" t="s">
        <v>5203</v>
      </c>
      <c r="EI302" s="18" t="s">
        <v>5204</v>
      </c>
      <c r="EJ302" s="18" t="s">
        <v>5245</v>
      </c>
      <c r="EN302" s="18" t="s">
        <v>113</v>
      </c>
      <c r="EX302" s="18" t="s">
        <v>5158</v>
      </c>
      <c r="EY302" s="18" t="s">
        <v>5229</v>
      </c>
      <c r="EZ302" s="18" t="s">
        <v>5160</v>
      </c>
      <c r="FA302" s="18" t="s">
        <v>144</v>
      </c>
      <c r="FB302" s="18" t="s">
        <v>5161</v>
      </c>
    </row>
    <row r="303" spans="1:158" ht="10.5" customHeight="1" x14ac:dyDescent="0.2">
      <c r="A303" s="16">
        <v>41</v>
      </c>
      <c r="B303" s="16" t="s">
        <v>2773</v>
      </c>
      <c r="C303" s="16" t="s">
        <v>2772</v>
      </c>
      <c r="D303" s="16">
        <v>6475</v>
      </c>
      <c r="E303" s="16" t="s">
        <v>6656</v>
      </c>
      <c r="F303" s="18" t="s">
        <v>2772</v>
      </c>
      <c r="G303" s="18" t="s">
        <v>113</v>
      </c>
      <c r="H303" s="15" t="s">
        <v>111</v>
      </c>
      <c r="AT303" s="17">
        <f>(365*D303*0.7)/1000</f>
        <v>1654.3625</v>
      </c>
      <c r="AU303" s="17">
        <f t="shared" si="12"/>
        <v>0</v>
      </c>
      <c r="BW303" s="15">
        <f t="shared" si="13"/>
        <v>0</v>
      </c>
    </row>
    <row r="304" spans="1:158" ht="10.5" customHeight="1" x14ac:dyDescent="0.2">
      <c r="A304" s="16">
        <v>41</v>
      </c>
      <c r="B304" s="16" t="s">
        <v>2773</v>
      </c>
      <c r="C304" s="16" t="s">
        <v>2772</v>
      </c>
      <c r="D304" s="16">
        <v>6475</v>
      </c>
      <c r="E304" s="16" t="s">
        <v>6656</v>
      </c>
      <c r="F304" s="18" t="s">
        <v>2772</v>
      </c>
      <c r="G304" s="18" t="s">
        <v>113</v>
      </c>
      <c r="H304" s="15" t="s">
        <v>111</v>
      </c>
      <c r="AT304" s="17">
        <f>(365*D304*0.7)/1000</f>
        <v>1654.3625</v>
      </c>
      <c r="AU304" s="17">
        <f t="shared" si="12"/>
        <v>0</v>
      </c>
      <c r="BW304" s="15">
        <f t="shared" si="13"/>
        <v>0</v>
      </c>
    </row>
    <row r="305" spans="1:158" ht="10.5" customHeight="1" x14ac:dyDescent="0.2">
      <c r="A305" s="16">
        <v>41</v>
      </c>
      <c r="B305" s="16" t="s">
        <v>2784</v>
      </c>
      <c r="C305" s="16" t="s">
        <v>2783</v>
      </c>
      <c r="D305" s="16">
        <v>6767</v>
      </c>
      <c r="E305" s="16" t="s">
        <v>6656</v>
      </c>
      <c r="F305" s="18" t="s">
        <v>2783</v>
      </c>
      <c r="G305" s="18" t="s">
        <v>113</v>
      </c>
      <c r="H305" s="15" t="s">
        <v>111</v>
      </c>
      <c r="AT305" s="17">
        <f>(365*D305*0.7)/1000</f>
        <v>1728.9684999999999</v>
      </c>
      <c r="AU305" s="17">
        <f t="shared" si="12"/>
        <v>0</v>
      </c>
      <c r="BW305" s="15">
        <f t="shared" si="13"/>
        <v>0</v>
      </c>
    </row>
    <row r="306" spans="1:158" ht="10.5" customHeight="1" x14ac:dyDescent="0.2">
      <c r="A306" s="16">
        <v>41</v>
      </c>
      <c r="B306" s="16" t="s">
        <v>2800</v>
      </c>
      <c r="C306" s="16" t="s">
        <v>2799</v>
      </c>
      <c r="D306" s="16">
        <v>16386</v>
      </c>
      <c r="E306" s="16" t="s">
        <v>6658</v>
      </c>
      <c r="F306" s="18" t="s">
        <v>2799</v>
      </c>
      <c r="G306" s="18" t="s">
        <v>106</v>
      </c>
      <c r="H306" s="15" t="s">
        <v>5127</v>
      </c>
      <c r="I306" s="18">
        <v>20</v>
      </c>
      <c r="J306" s="18">
        <v>12</v>
      </c>
      <c r="K306" s="18">
        <v>8</v>
      </c>
      <c r="L306" s="18">
        <v>0</v>
      </c>
      <c r="M306" s="18" t="s">
        <v>5183</v>
      </c>
      <c r="N306" s="18" t="s">
        <v>6196</v>
      </c>
      <c r="O306" s="18">
        <v>46809</v>
      </c>
      <c r="T306" s="18" t="s">
        <v>111</v>
      </c>
      <c r="U306" s="18" t="s">
        <v>5185</v>
      </c>
      <c r="V306" s="18" t="s">
        <v>106</v>
      </c>
      <c r="W306" s="18" t="s">
        <v>5124</v>
      </c>
      <c r="Y306" s="18" t="s">
        <v>5162</v>
      </c>
      <c r="Z306" s="18" t="s">
        <v>106</v>
      </c>
      <c r="AA306" s="18" t="s">
        <v>5267</v>
      </c>
      <c r="AC306" s="18" t="s">
        <v>5127</v>
      </c>
      <c r="AD306" s="18" t="s">
        <v>5127</v>
      </c>
      <c r="AE306" s="18" t="s">
        <v>5127</v>
      </c>
      <c r="AF306" s="18" t="s">
        <v>5127</v>
      </c>
      <c r="AG306" s="18" t="s">
        <v>5127</v>
      </c>
      <c r="AH306" s="18" t="s">
        <v>5127</v>
      </c>
      <c r="AI306" s="18">
        <v>1</v>
      </c>
      <c r="AK306" s="18" t="s">
        <v>5164</v>
      </c>
      <c r="AN306" s="18" t="s">
        <v>6197</v>
      </c>
      <c r="AO306" s="18" t="s">
        <v>5186</v>
      </c>
      <c r="AP306" s="18" t="s">
        <v>6198</v>
      </c>
      <c r="AQ306" s="18" t="s">
        <v>5547</v>
      </c>
      <c r="AR306" s="18" t="s">
        <v>5168</v>
      </c>
      <c r="AT306" s="17">
        <f>(365*D306*0.7)/1000</f>
        <v>4186.6229999999996</v>
      </c>
      <c r="AU306" s="17">
        <f t="shared" si="12"/>
        <v>452.4</v>
      </c>
      <c r="AV306" s="18">
        <v>452.4</v>
      </c>
      <c r="AW306" s="18">
        <v>0</v>
      </c>
      <c r="AY306" s="18" t="s">
        <v>164</v>
      </c>
      <c r="BG306" s="18" t="s">
        <v>5281</v>
      </c>
      <c r="BH306" s="18">
        <v>0</v>
      </c>
      <c r="BI306" s="18">
        <v>0</v>
      </c>
      <c r="BJ306" s="18">
        <v>0</v>
      </c>
      <c r="BQ306" s="18">
        <v>259.83999999999997</v>
      </c>
      <c r="BR306" s="18">
        <v>145</v>
      </c>
      <c r="BS306" s="18">
        <v>51.06</v>
      </c>
      <c r="BT306" s="18">
        <v>59.48</v>
      </c>
      <c r="BU306" s="18">
        <v>0</v>
      </c>
      <c r="BV306" s="18">
        <v>515.4</v>
      </c>
      <c r="BW306" s="15">
        <f t="shared" si="13"/>
        <v>515.38</v>
      </c>
      <c r="BY306" s="18" t="s">
        <v>5134</v>
      </c>
      <c r="BZ306" s="18" t="s">
        <v>5192</v>
      </c>
      <c r="CD306" s="18" t="s">
        <v>5127</v>
      </c>
      <c r="CE306" s="18" t="s">
        <v>111</v>
      </c>
      <c r="CF306" s="18" t="s">
        <v>5135</v>
      </c>
      <c r="CG306" s="18" t="s">
        <v>5550</v>
      </c>
      <c r="CH306" s="18" t="s">
        <v>5699</v>
      </c>
      <c r="CI306" s="18" t="s">
        <v>5195</v>
      </c>
      <c r="CJ306" s="18" t="s">
        <v>5680</v>
      </c>
      <c r="CK306" s="18" t="s">
        <v>5197</v>
      </c>
      <c r="CL306" s="18">
        <v>2</v>
      </c>
      <c r="CM306" s="18">
        <v>1</v>
      </c>
      <c r="CN306" s="18">
        <v>0</v>
      </c>
      <c r="CO306" s="18">
        <v>2</v>
      </c>
      <c r="CP306" s="18">
        <v>2</v>
      </c>
      <c r="CQ306" s="18">
        <v>2</v>
      </c>
      <c r="CR306" s="18">
        <v>0</v>
      </c>
      <c r="CS306" s="18" t="s">
        <v>5141</v>
      </c>
      <c r="CT306" s="18">
        <v>0</v>
      </c>
      <c r="CU306" s="18">
        <v>0</v>
      </c>
      <c r="CV306" s="18">
        <v>0</v>
      </c>
      <c r="CX306" s="18">
        <v>0</v>
      </c>
      <c r="CY306" s="18">
        <v>0</v>
      </c>
      <c r="CZ306" s="18">
        <v>0</v>
      </c>
      <c r="DA306" s="18">
        <v>0</v>
      </c>
      <c r="DB306" s="18">
        <v>0</v>
      </c>
      <c r="DC306" s="18">
        <v>0</v>
      </c>
      <c r="DD306" s="18">
        <v>0</v>
      </c>
      <c r="DE306" s="18">
        <v>0</v>
      </c>
      <c r="DF306" s="18">
        <v>0</v>
      </c>
      <c r="DG306" s="18">
        <v>0</v>
      </c>
      <c r="DH306" s="18">
        <v>0</v>
      </c>
      <c r="DI306" s="18">
        <v>0</v>
      </c>
      <c r="DK306" s="18">
        <v>0</v>
      </c>
      <c r="DL306" s="18">
        <v>0</v>
      </c>
      <c r="DM306" s="18" t="s">
        <v>5127</v>
      </c>
      <c r="DN306" s="18" t="s">
        <v>5258</v>
      </c>
      <c r="DO306" s="18" t="s">
        <v>5665</v>
      </c>
      <c r="DP306" s="18" t="s">
        <v>113</v>
      </c>
      <c r="DS306" s="18">
        <v>0</v>
      </c>
      <c r="DT306" s="18">
        <v>1</v>
      </c>
      <c r="DU306" s="18">
        <v>1</v>
      </c>
      <c r="DV306" s="18" t="s">
        <v>5342</v>
      </c>
      <c r="DX306" s="18" t="s">
        <v>5145</v>
      </c>
      <c r="DY306" s="18" t="s">
        <v>106</v>
      </c>
      <c r="DZ306" s="18" t="s">
        <v>113</v>
      </c>
      <c r="EA306" s="18" t="s">
        <v>5175</v>
      </c>
      <c r="EB306" s="18" t="s">
        <v>6199</v>
      </c>
      <c r="EC306" s="18" t="s">
        <v>106</v>
      </c>
      <c r="ED306" s="18" t="s">
        <v>5176</v>
      </c>
      <c r="EE306" s="18" t="s">
        <v>106</v>
      </c>
      <c r="EF306" s="18" t="s">
        <v>106</v>
      </c>
      <c r="EG306" s="18" t="s">
        <v>5148</v>
      </c>
      <c r="EH306" s="18" t="s">
        <v>5203</v>
      </c>
      <c r="EI306" s="18" t="s">
        <v>5204</v>
      </c>
      <c r="EJ306" s="18" t="s">
        <v>5245</v>
      </c>
      <c r="EK306" s="18" t="s">
        <v>113</v>
      </c>
      <c r="EN306" s="18" t="s">
        <v>113</v>
      </c>
      <c r="EO306" s="18" t="s">
        <v>113</v>
      </c>
      <c r="EP306" s="18" t="s">
        <v>113</v>
      </c>
      <c r="EQ306" s="18" t="s">
        <v>113</v>
      </c>
      <c r="ER306" s="18" t="s">
        <v>5206</v>
      </c>
      <c r="ES306" s="18" t="s">
        <v>5153</v>
      </c>
      <c r="ET306" s="18" t="s">
        <v>5154</v>
      </c>
      <c r="EU306" s="18" t="s">
        <v>5318</v>
      </c>
      <c r="EV306" s="18" t="s">
        <v>5276</v>
      </c>
      <c r="EW306" s="18" t="s">
        <v>5291</v>
      </c>
      <c r="EX306" s="18" t="s">
        <v>5158</v>
      </c>
      <c r="EY306" s="18" t="s">
        <v>5278</v>
      </c>
      <c r="FA306" s="18" t="s">
        <v>144</v>
      </c>
      <c r="FB306" s="18" t="s">
        <v>5161</v>
      </c>
    </row>
    <row r="307" spans="1:158" ht="10.5" customHeight="1" x14ac:dyDescent="0.2">
      <c r="A307" s="16">
        <v>41</v>
      </c>
      <c r="B307" s="16" t="s">
        <v>2813</v>
      </c>
      <c r="C307" s="16" t="s">
        <v>2812</v>
      </c>
      <c r="D307" s="16">
        <v>4521</v>
      </c>
      <c r="E307" s="16" t="s">
        <v>6656</v>
      </c>
      <c r="H307" s="15" t="s">
        <v>6661</v>
      </c>
      <c r="AT307" s="17">
        <f>(365*D307*0.7)/1000</f>
        <v>1155.1155000000001</v>
      </c>
      <c r="AU307" s="17">
        <f t="shared" si="12"/>
        <v>0</v>
      </c>
      <c r="BW307" s="15">
        <f t="shared" si="13"/>
        <v>0</v>
      </c>
    </row>
    <row r="308" spans="1:158" ht="10.5" customHeight="1" x14ac:dyDescent="0.2">
      <c r="A308" s="16">
        <v>41</v>
      </c>
      <c r="B308" s="16" t="s">
        <v>2820</v>
      </c>
      <c r="C308" s="16" t="s">
        <v>2819</v>
      </c>
      <c r="D308" s="16">
        <v>4778</v>
      </c>
      <c r="E308" s="16" t="s">
        <v>6656</v>
      </c>
      <c r="F308" s="18" t="s">
        <v>2819</v>
      </c>
      <c r="G308" s="18" t="s">
        <v>113</v>
      </c>
      <c r="H308" s="15" t="s">
        <v>111</v>
      </c>
      <c r="AT308" s="17">
        <f>(365*D308*0.7)/1000</f>
        <v>1220.779</v>
      </c>
      <c r="AU308" s="17">
        <f t="shared" si="12"/>
        <v>0</v>
      </c>
      <c r="BW308" s="15">
        <f t="shared" si="13"/>
        <v>0</v>
      </c>
    </row>
    <row r="309" spans="1:158" ht="10.5" customHeight="1" x14ac:dyDescent="0.2">
      <c r="A309" s="16">
        <v>41</v>
      </c>
      <c r="B309" s="16" t="s">
        <v>2834</v>
      </c>
      <c r="C309" s="16" t="s">
        <v>2833</v>
      </c>
      <c r="D309" s="16">
        <v>19022</v>
      </c>
      <c r="E309" s="16" t="s">
        <v>6658</v>
      </c>
      <c r="F309" s="18" t="s">
        <v>2833</v>
      </c>
      <c r="G309" s="18" t="s">
        <v>106</v>
      </c>
      <c r="H309" s="15" t="s">
        <v>5127</v>
      </c>
      <c r="I309" s="18">
        <v>19</v>
      </c>
      <c r="J309" s="18">
        <v>7</v>
      </c>
      <c r="K309" s="18">
        <v>12</v>
      </c>
      <c r="L309" s="18">
        <v>0</v>
      </c>
      <c r="M309" s="18" t="s">
        <v>5230</v>
      </c>
      <c r="N309" s="18" t="s">
        <v>6200</v>
      </c>
      <c r="O309" s="18">
        <v>47095</v>
      </c>
      <c r="T309" s="18" t="s">
        <v>111</v>
      </c>
      <c r="U309" s="18" t="s">
        <v>5250</v>
      </c>
      <c r="V309" s="18" t="s">
        <v>106</v>
      </c>
      <c r="W309" s="18" t="s">
        <v>5211</v>
      </c>
      <c r="Y309" s="18" t="s">
        <v>5232</v>
      </c>
      <c r="Z309" s="18" t="s">
        <v>106</v>
      </c>
      <c r="AA309" s="18" t="s">
        <v>5163</v>
      </c>
      <c r="AB309" s="18" t="s">
        <v>179</v>
      </c>
      <c r="AC309" s="18" t="s">
        <v>5127</v>
      </c>
      <c r="AD309" s="18" t="s">
        <v>5127</v>
      </c>
      <c r="AE309" s="18" t="s">
        <v>5127</v>
      </c>
      <c r="AF309" s="18" t="s">
        <v>5127</v>
      </c>
      <c r="AG309" s="18" t="s">
        <v>5127</v>
      </c>
      <c r="AH309" s="18" t="s">
        <v>5127</v>
      </c>
      <c r="AI309" s="18">
        <v>1</v>
      </c>
      <c r="AK309" s="18" t="s">
        <v>5164</v>
      </c>
      <c r="AN309" s="18">
        <v>918</v>
      </c>
      <c r="AO309" s="18" t="s">
        <v>5186</v>
      </c>
      <c r="AP309" s="18" t="s">
        <v>6201</v>
      </c>
      <c r="AQ309" s="18" t="s">
        <v>6202</v>
      </c>
      <c r="AR309" s="18" t="s">
        <v>5168</v>
      </c>
      <c r="AT309" s="17">
        <f>(365*D309*0.7)/1000</f>
        <v>4860.1210000000001</v>
      </c>
      <c r="AU309" s="17">
        <f t="shared" si="12"/>
        <v>232</v>
      </c>
      <c r="AV309" s="18">
        <v>232</v>
      </c>
      <c r="AW309" s="18">
        <v>0</v>
      </c>
      <c r="AY309" s="18" t="s">
        <v>5583</v>
      </c>
      <c r="AZ309" s="18">
        <f>150/1000</f>
        <v>0.15</v>
      </c>
      <c r="BA309" s="18">
        <v>0</v>
      </c>
      <c r="BB309" s="18">
        <v>0</v>
      </c>
      <c r="BD309" s="18">
        <v>0</v>
      </c>
      <c r="BE309" s="18">
        <v>0</v>
      </c>
      <c r="BG309" s="18" t="s">
        <v>5238</v>
      </c>
      <c r="BH309" s="18">
        <v>0</v>
      </c>
      <c r="BI309" s="18">
        <v>0</v>
      </c>
      <c r="BJ309" s="18">
        <v>0</v>
      </c>
      <c r="BQ309" s="18">
        <v>317</v>
      </c>
      <c r="BR309" s="18">
        <v>195</v>
      </c>
      <c r="BS309" s="18">
        <v>82</v>
      </c>
      <c r="BT309" s="18">
        <v>89</v>
      </c>
      <c r="BU309" s="18">
        <v>2</v>
      </c>
      <c r="BV309" s="18">
        <v>685</v>
      </c>
      <c r="BW309" s="15">
        <f t="shared" si="13"/>
        <v>685</v>
      </c>
      <c r="BY309" s="18" t="s">
        <v>5134</v>
      </c>
      <c r="BZ309" s="18" t="s">
        <v>5335</v>
      </c>
      <c r="CD309" s="18" t="s">
        <v>5127</v>
      </c>
      <c r="CE309" s="18" t="s">
        <v>5127</v>
      </c>
      <c r="CF309" s="18" t="s">
        <v>5135</v>
      </c>
      <c r="CG309" s="18" t="s">
        <v>6203</v>
      </c>
      <c r="CH309" s="18" t="s">
        <v>5241</v>
      </c>
      <c r="CI309" s="18" t="s">
        <v>5138</v>
      </c>
      <c r="CJ309" s="18" t="s">
        <v>5196</v>
      </c>
      <c r="CK309" s="18" t="s">
        <v>5197</v>
      </c>
      <c r="CL309" s="18">
        <v>4</v>
      </c>
      <c r="CM309" s="18">
        <v>0</v>
      </c>
      <c r="CN309" s="18">
        <v>0</v>
      </c>
      <c r="CO309" s="18">
        <v>0</v>
      </c>
      <c r="CP309" s="18">
        <v>1</v>
      </c>
      <c r="CQ309" s="18">
        <v>0</v>
      </c>
      <c r="CR309" s="18">
        <v>2</v>
      </c>
      <c r="CS309" s="18" t="s">
        <v>5141</v>
      </c>
      <c r="CT309" s="18">
        <v>1</v>
      </c>
      <c r="CU309" s="18">
        <v>1</v>
      </c>
      <c r="CV309" s="18" t="s">
        <v>5141</v>
      </c>
      <c r="CX309" s="18">
        <v>1</v>
      </c>
      <c r="CY309" s="18">
        <v>2</v>
      </c>
      <c r="CZ309" s="18">
        <v>0</v>
      </c>
      <c r="DA309" s="18">
        <v>0</v>
      </c>
      <c r="DB309" s="18">
        <v>1</v>
      </c>
      <c r="DC309" s="18">
        <v>0</v>
      </c>
      <c r="DD309" s="18">
        <v>0</v>
      </c>
      <c r="DE309" s="18">
        <v>0</v>
      </c>
      <c r="DF309" s="18" t="s">
        <v>5141</v>
      </c>
      <c r="DG309" s="18">
        <v>0</v>
      </c>
      <c r="DH309" s="18">
        <v>0</v>
      </c>
      <c r="DI309" s="18">
        <v>0</v>
      </c>
      <c r="DK309" s="18">
        <v>0</v>
      </c>
      <c r="DL309" s="18">
        <v>0</v>
      </c>
      <c r="DM309" s="18" t="s">
        <v>5127</v>
      </c>
      <c r="DN309" s="18" t="s">
        <v>5172</v>
      </c>
      <c r="DO309" s="18" t="s">
        <v>5173</v>
      </c>
      <c r="DP309" s="18" t="s">
        <v>113</v>
      </c>
      <c r="DS309" s="18">
        <v>0</v>
      </c>
      <c r="DT309" s="18">
        <v>1</v>
      </c>
      <c r="DU309" s="18">
        <v>1</v>
      </c>
      <c r="DV309" s="18" t="s">
        <v>5951</v>
      </c>
      <c r="DX309" s="18" t="s">
        <v>5145</v>
      </c>
      <c r="DY309" s="18" t="s">
        <v>106</v>
      </c>
      <c r="DZ309" s="18" t="s">
        <v>113</v>
      </c>
      <c r="EA309" s="18" t="s">
        <v>5202</v>
      </c>
      <c r="EB309" s="18">
        <v>685</v>
      </c>
      <c r="EC309" s="18" t="s">
        <v>106</v>
      </c>
      <c r="ED309" s="18" t="s">
        <v>5176</v>
      </c>
      <c r="EE309" s="18" t="s">
        <v>113</v>
      </c>
      <c r="EF309" s="18" t="s">
        <v>113</v>
      </c>
      <c r="EG309" s="18" t="s">
        <v>5148</v>
      </c>
      <c r="EH309" s="18" t="s">
        <v>5203</v>
      </c>
      <c r="EI309" s="18" t="s">
        <v>5204</v>
      </c>
      <c r="EJ309" s="18" t="s">
        <v>5245</v>
      </c>
      <c r="EK309" s="18" t="s">
        <v>113</v>
      </c>
      <c r="EN309" s="18" t="s">
        <v>113</v>
      </c>
      <c r="EO309" s="18" t="s">
        <v>113</v>
      </c>
      <c r="EP309" s="18" t="s">
        <v>113</v>
      </c>
      <c r="EQ309" s="18" t="s">
        <v>113</v>
      </c>
      <c r="ER309" s="18" t="s">
        <v>5206</v>
      </c>
      <c r="ES309" s="18" t="s">
        <v>5153</v>
      </c>
      <c r="ET309" s="18" t="s">
        <v>5154</v>
      </c>
      <c r="EU309" s="18" t="s">
        <v>5155</v>
      </c>
      <c r="EV309" s="18" t="s">
        <v>6003</v>
      </c>
      <c r="EW309" s="18" t="s">
        <v>5291</v>
      </c>
      <c r="EX309" s="18" t="s">
        <v>5158</v>
      </c>
      <c r="EY309" s="18" t="s">
        <v>5248</v>
      </c>
      <c r="EZ309" s="18" t="s">
        <v>5160</v>
      </c>
      <c r="FA309" s="18" t="s">
        <v>144</v>
      </c>
      <c r="FB309" s="18" t="s">
        <v>5161</v>
      </c>
    </row>
    <row r="310" spans="1:158" ht="10.5" customHeight="1" x14ac:dyDescent="0.2">
      <c r="A310" s="16">
        <v>41</v>
      </c>
      <c r="B310" s="16" t="s">
        <v>2851</v>
      </c>
      <c r="C310" s="16" t="s">
        <v>2850</v>
      </c>
      <c r="D310" s="16">
        <v>41416</v>
      </c>
      <c r="E310" s="16" t="s">
        <v>6658</v>
      </c>
      <c r="F310" s="18" t="s">
        <v>2850</v>
      </c>
      <c r="G310" s="18" t="s">
        <v>106</v>
      </c>
      <c r="H310" s="15" t="s">
        <v>5127</v>
      </c>
      <c r="I310" s="18">
        <v>9</v>
      </c>
      <c r="J310" s="18">
        <v>4</v>
      </c>
      <c r="K310" s="18">
        <v>5</v>
      </c>
      <c r="L310" s="18">
        <v>0</v>
      </c>
      <c r="M310" s="18" t="s">
        <v>5121</v>
      </c>
      <c r="N310" s="18" t="s">
        <v>409</v>
      </c>
      <c r="T310" s="18" t="s">
        <v>111</v>
      </c>
      <c r="U310" s="18" t="s">
        <v>5123</v>
      </c>
      <c r="V310" s="18" t="s">
        <v>106</v>
      </c>
      <c r="W310" s="18" t="s">
        <v>5124</v>
      </c>
      <c r="Y310" s="18" t="s">
        <v>5232</v>
      </c>
      <c r="Z310" s="18" t="s">
        <v>106</v>
      </c>
      <c r="AA310" s="18" t="s">
        <v>5163</v>
      </c>
      <c r="AB310" s="18" t="s">
        <v>179</v>
      </c>
      <c r="AC310" s="18" t="s">
        <v>5127</v>
      </c>
      <c r="AD310" s="18" t="s">
        <v>5127</v>
      </c>
      <c r="AE310" s="18" t="s">
        <v>5127</v>
      </c>
      <c r="AF310" s="18" t="s">
        <v>5127</v>
      </c>
      <c r="AG310" s="18" t="s">
        <v>5127</v>
      </c>
      <c r="AH310" s="18" t="s">
        <v>5127</v>
      </c>
      <c r="AI310" s="18">
        <v>1</v>
      </c>
      <c r="AK310" s="18" t="s">
        <v>5164</v>
      </c>
      <c r="AN310" s="18">
        <v>145</v>
      </c>
      <c r="AO310" s="18" t="s">
        <v>5129</v>
      </c>
      <c r="AP310" s="18" t="s">
        <v>6204</v>
      </c>
      <c r="AQ310" s="18" t="s">
        <v>5252</v>
      </c>
      <c r="AR310" s="18" t="s">
        <v>5132</v>
      </c>
      <c r="AT310" s="17">
        <f>(365*D310*0.7)/1000</f>
        <v>10581.788</v>
      </c>
      <c r="AU310" s="17">
        <f t="shared" si="12"/>
        <v>14</v>
      </c>
      <c r="AV310" s="18">
        <v>14</v>
      </c>
      <c r="AW310" s="18">
        <v>0</v>
      </c>
      <c r="AY310" s="18" t="s">
        <v>164</v>
      </c>
      <c r="BG310" s="18" t="s">
        <v>5169</v>
      </c>
      <c r="BQ310" s="18">
        <v>20</v>
      </c>
      <c r="BR310" s="18">
        <v>5</v>
      </c>
      <c r="BS310" s="18">
        <v>5</v>
      </c>
      <c r="BT310" s="18">
        <v>0</v>
      </c>
      <c r="BU310" s="18">
        <v>0</v>
      </c>
      <c r="BV310" s="18">
        <f>SUM(BQ310:BU310)</f>
        <v>30</v>
      </c>
      <c r="BW310" s="15">
        <f t="shared" si="13"/>
        <v>30</v>
      </c>
      <c r="BY310" s="18" t="s">
        <v>5134</v>
      </c>
      <c r="BZ310" s="18" t="s">
        <v>193</v>
      </c>
      <c r="CD310" s="18" t="s">
        <v>5127</v>
      </c>
      <c r="CE310" s="18" t="s">
        <v>5127</v>
      </c>
      <c r="CF310" s="18" t="s">
        <v>5282</v>
      </c>
      <c r="CG310" s="18" t="s">
        <v>5935</v>
      </c>
      <c r="CH310" s="18" t="s">
        <v>111</v>
      </c>
      <c r="CI310" s="18" t="s">
        <v>5138</v>
      </c>
      <c r="CJ310" s="18" t="s">
        <v>5196</v>
      </c>
      <c r="CK310" s="18" t="s">
        <v>5197</v>
      </c>
      <c r="CL310" s="18">
        <v>1</v>
      </c>
      <c r="CM310" s="18">
        <v>0</v>
      </c>
      <c r="CN310" s="18">
        <v>0</v>
      </c>
      <c r="CO310" s="18">
        <v>1</v>
      </c>
      <c r="CP310" s="18">
        <v>1</v>
      </c>
      <c r="CQ310" s="18">
        <v>0</v>
      </c>
      <c r="CR310" s="18">
        <v>1</v>
      </c>
      <c r="CS310" s="18">
        <v>1</v>
      </c>
      <c r="CT310" s="18">
        <v>0</v>
      </c>
      <c r="CU310" s="18">
        <v>0</v>
      </c>
      <c r="CV310" s="18">
        <v>0</v>
      </c>
      <c r="CX310" s="18">
        <v>1</v>
      </c>
      <c r="CY310" s="18">
        <v>1</v>
      </c>
      <c r="CZ310" s="18">
        <v>0</v>
      </c>
      <c r="DA310" s="18">
        <v>1</v>
      </c>
      <c r="DB310" s="18">
        <v>1</v>
      </c>
      <c r="DC310" s="18">
        <v>1</v>
      </c>
      <c r="DD310" s="18">
        <v>1</v>
      </c>
      <c r="DE310" s="18">
        <v>0</v>
      </c>
      <c r="DF310" s="18">
        <v>0</v>
      </c>
      <c r="DG310" s="18">
        <v>1</v>
      </c>
      <c r="DH310" s="18">
        <v>1</v>
      </c>
      <c r="DI310" s="18">
        <v>1</v>
      </c>
      <c r="DK310" s="18">
        <v>0</v>
      </c>
      <c r="DL310" s="18">
        <v>1</v>
      </c>
      <c r="DM310" s="18" t="s">
        <v>5127</v>
      </c>
      <c r="DN310" s="18" t="s">
        <v>5172</v>
      </c>
      <c r="DO310" s="18" t="s">
        <v>5259</v>
      </c>
      <c r="DP310" s="18" t="s">
        <v>106</v>
      </c>
      <c r="DQ310" s="18" t="s">
        <v>5132</v>
      </c>
      <c r="DS310" s="18">
        <v>4</v>
      </c>
      <c r="DT310" s="18">
        <v>0</v>
      </c>
      <c r="DU310" s="18">
        <v>2</v>
      </c>
      <c r="DV310" s="18" t="s">
        <v>5144</v>
      </c>
      <c r="DX310" s="18" t="s">
        <v>5222</v>
      </c>
      <c r="DY310" s="18" t="s">
        <v>106</v>
      </c>
      <c r="DZ310" s="18" t="s">
        <v>106</v>
      </c>
      <c r="EA310" s="18" t="s">
        <v>5261</v>
      </c>
      <c r="EB310" s="18">
        <v>145</v>
      </c>
      <c r="EC310" s="18" t="s">
        <v>106</v>
      </c>
      <c r="ED310" s="18" t="s">
        <v>5176</v>
      </c>
      <c r="EE310" s="18" t="s">
        <v>106</v>
      </c>
      <c r="EF310" s="18" t="s">
        <v>113</v>
      </c>
      <c r="EG310" s="18" t="s">
        <v>5148</v>
      </c>
      <c r="EH310" s="18" t="s">
        <v>5203</v>
      </c>
      <c r="EI310" s="18" t="s">
        <v>5204</v>
      </c>
      <c r="EJ310" s="18" t="s">
        <v>5327</v>
      </c>
      <c r="EK310" s="18" t="s">
        <v>5878</v>
      </c>
      <c r="EL310" s="18" t="s">
        <v>5226</v>
      </c>
      <c r="EM310" s="18" t="s">
        <v>5227</v>
      </c>
      <c r="EN310" s="18" t="s">
        <v>113</v>
      </c>
      <c r="EO310" s="18" t="s">
        <v>113</v>
      </c>
      <c r="EP310" s="18" t="s">
        <v>106</v>
      </c>
      <c r="EQ310" s="18" t="s">
        <v>106</v>
      </c>
      <c r="ER310" s="18" t="s">
        <v>5152</v>
      </c>
      <c r="ES310" s="18" t="s">
        <v>5153</v>
      </c>
      <c r="ET310" s="18" t="s">
        <v>5154</v>
      </c>
      <c r="EU310" s="18" t="s">
        <v>5155</v>
      </c>
      <c r="EV310" s="18" t="s">
        <v>5730</v>
      </c>
      <c r="EW310" s="18" t="s">
        <v>179</v>
      </c>
      <c r="EX310" s="18" t="s">
        <v>5158</v>
      </c>
      <c r="EY310" s="18" t="s">
        <v>5181</v>
      </c>
      <c r="EZ310" s="18" t="s">
        <v>5182</v>
      </c>
      <c r="FA310" s="18" t="s">
        <v>144</v>
      </c>
      <c r="FB310" s="18" t="s">
        <v>5161</v>
      </c>
    </row>
    <row r="311" spans="1:158" ht="10.5" customHeight="1" x14ac:dyDescent="0.2">
      <c r="A311" s="16">
        <v>41</v>
      </c>
      <c r="B311" s="16" t="s">
        <v>2869</v>
      </c>
      <c r="C311" s="16" t="s">
        <v>2868</v>
      </c>
      <c r="D311" s="16">
        <v>3237</v>
      </c>
      <c r="E311" s="16" t="s">
        <v>6656</v>
      </c>
      <c r="F311" s="18" t="s">
        <v>2868</v>
      </c>
      <c r="G311" s="18" t="s">
        <v>106</v>
      </c>
      <c r="H311" s="15" t="s">
        <v>5127</v>
      </c>
      <c r="I311" s="18">
        <v>9</v>
      </c>
      <c r="J311" s="18">
        <v>0</v>
      </c>
      <c r="K311" s="18">
        <v>9</v>
      </c>
      <c r="L311" s="18">
        <v>0</v>
      </c>
      <c r="M311" s="18" t="s">
        <v>5183</v>
      </c>
      <c r="N311" s="18" t="s">
        <v>6205</v>
      </c>
      <c r="O311" s="18">
        <v>45843</v>
      </c>
      <c r="T311" s="18" t="s">
        <v>111</v>
      </c>
      <c r="U311" s="18" t="s">
        <v>5123</v>
      </c>
      <c r="V311" s="18" t="s">
        <v>106</v>
      </c>
      <c r="W311" s="18" t="s">
        <v>5211</v>
      </c>
      <c r="Y311" s="18" t="s">
        <v>5162</v>
      </c>
      <c r="Z311" s="18" t="s">
        <v>106</v>
      </c>
      <c r="AA311" s="18" t="s">
        <v>5163</v>
      </c>
      <c r="AB311" s="18" t="s">
        <v>5233</v>
      </c>
      <c r="AC311" s="18" t="s">
        <v>5127</v>
      </c>
      <c r="AD311" s="18" t="s">
        <v>5127</v>
      </c>
      <c r="AE311" s="18" t="s">
        <v>111</v>
      </c>
      <c r="AF311" s="18" t="s">
        <v>111</v>
      </c>
      <c r="AG311" s="18" t="s">
        <v>5127</v>
      </c>
      <c r="AH311" s="18" t="s">
        <v>111</v>
      </c>
      <c r="AI311" s="18">
        <v>1</v>
      </c>
      <c r="AK311" s="18" t="s">
        <v>5164</v>
      </c>
      <c r="AN311" s="18">
        <v>270</v>
      </c>
      <c r="AO311" s="18" t="s">
        <v>5165</v>
      </c>
      <c r="AP311" s="18" t="s">
        <v>6206</v>
      </c>
      <c r="AQ311" s="18" t="s">
        <v>5711</v>
      </c>
      <c r="AR311" s="18" t="s">
        <v>179</v>
      </c>
      <c r="AT311" s="17">
        <f>(365*D311*0.7)/1000</f>
        <v>827.05349999999999</v>
      </c>
      <c r="AU311" s="17">
        <f t="shared" si="12"/>
        <v>218</v>
      </c>
      <c r="AV311" s="18">
        <v>218</v>
      </c>
      <c r="AW311" s="18">
        <v>0</v>
      </c>
      <c r="AY311" s="18" t="s">
        <v>5334</v>
      </c>
      <c r="BB311" s="18">
        <v>1000</v>
      </c>
      <c r="BG311" s="18" t="s">
        <v>5281</v>
      </c>
      <c r="BH311" s="18">
        <v>0</v>
      </c>
      <c r="BI311" s="18">
        <v>0</v>
      </c>
      <c r="BQ311" s="18">
        <v>8</v>
      </c>
      <c r="BR311" s="18">
        <v>18</v>
      </c>
      <c r="BS311" s="18">
        <v>20</v>
      </c>
      <c r="BT311" s="18">
        <v>1</v>
      </c>
      <c r="BU311" s="18">
        <v>30</v>
      </c>
      <c r="BV311" s="18">
        <f t="shared" ref="BV311:BV315" si="15">SUM(BQ311:BU311)</f>
        <v>77</v>
      </c>
      <c r="BW311" s="15">
        <f t="shared" si="13"/>
        <v>77</v>
      </c>
      <c r="BY311" s="18" t="s">
        <v>5134</v>
      </c>
      <c r="BZ311" s="18" t="s">
        <v>193</v>
      </c>
      <c r="CD311" s="18" t="s">
        <v>5127</v>
      </c>
      <c r="CE311" s="18" t="s">
        <v>111</v>
      </c>
      <c r="CF311" s="18" t="s">
        <v>5529</v>
      </c>
      <c r="CG311" s="18" t="s">
        <v>6207</v>
      </c>
      <c r="CH311" s="18" t="s">
        <v>111</v>
      </c>
      <c r="CI311" s="18" t="s">
        <v>5138</v>
      </c>
      <c r="CJ311" s="18" t="s">
        <v>5196</v>
      </c>
      <c r="CK311" s="18" t="s">
        <v>5197</v>
      </c>
      <c r="CL311" s="18">
        <v>1</v>
      </c>
      <c r="CM311" s="18">
        <v>0</v>
      </c>
      <c r="CN311" s="18">
        <v>0</v>
      </c>
      <c r="CO311" s="18">
        <v>1</v>
      </c>
      <c r="CP311" s="18">
        <v>2</v>
      </c>
      <c r="CQ311" s="18">
        <v>1</v>
      </c>
      <c r="CR311" s="18">
        <v>0</v>
      </c>
      <c r="CS311" s="18" t="s">
        <v>5141</v>
      </c>
      <c r="CT311" s="18">
        <v>0</v>
      </c>
      <c r="CU311" s="18">
        <v>0</v>
      </c>
      <c r="CV311" s="18" t="s">
        <v>5141</v>
      </c>
      <c r="CX311" s="18">
        <v>0</v>
      </c>
      <c r="CY311" s="18">
        <v>0</v>
      </c>
      <c r="CZ311" s="18">
        <v>0</v>
      </c>
      <c r="DA311" s="18">
        <v>1</v>
      </c>
      <c r="DB311" s="18">
        <v>0</v>
      </c>
      <c r="DC311" s="18">
        <v>0</v>
      </c>
      <c r="DD311" s="18">
        <v>0</v>
      </c>
      <c r="DE311" s="18">
        <v>1</v>
      </c>
      <c r="DF311" s="18" t="s">
        <v>5141</v>
      </c>
      <c r="DG311" s="18">
        <v>0</v>
      </c>
      <c r="DH311" s="18" t="s">
        <v>5141</v>
      </c>
      <c r="DI311" s="18" t="s">
        <v>5141</v>
      </c>
      <c r="DK311" s="18">
        <v>0</v>
      </c>
      <c r="DL311" s="18">
        <v>1</v>
      </c>
      <c r="DM311" s="18" t="s">
        <v>5127</v>
      </c>
      <c r="DN311" s="18" t="s">
        <v>5172</v>
      </c>
      <c r="DO311" s="18" t="s">
        <v>5143</v>
      </c>
      <c r="DP311" s="18" t="s">
        <v>113</v>
      </c>
      <c r="DQ311" s="18" t="s">
        <v>179</v>
      </c>
      <c r="DS311" s="18">
        <v>35</v>
      </c>
      <c r="DT311" s="18">
        <v>1</v>
      </c>
      <c r="DU311" s="18">
        <v>1</v>
      </c>
      <c r="DV311" s="18" t="s">
        <v>5397</v>
      </c>
      <c r="DX311" s="18" t="s">
        <v>5201</v>
      </c>
      <c r="DY311" s="18" t="s">
        <v>106</v>
      </c>
      <c r="DZ311" s="18" t="s">
        <v>113</v>
      </c>
      <c r="EA311" s="18" t="s">
        <v>5243</v>
      </c>
      <c r="EB311" s="18">
        <v>52</v>
      </c>
      <c r="EC311" s="18" t="s">
        <v>113</v>
      </c>
      <c r="ED311" s="18" t="s">
        <v>5176</v>
      </c>
      <c r="EE311" s="18" t="s">
        <v>106</v>
      </c>
      <c r="EF311" s="18" t="s">
        <v>106</v>
      </c>
      <c r="EG311" s="18" t="s">
        <v>5148</v>
      </c>
      <c r="EH311" s="18" t="s">
        <v>5203</v>
      </c>
      <c r="EI311" s="18" t="s">
        <v>5204</v>
      </c>
      <c r="EJ311" s="18" t="s">
        <v>6208</v>
      </c>
      <c r="EK311" s="18" t="s">
        <v>113</v>
      </c>
      <c r="EL311" s="18" t="s">
        <v>6209</v>
      </c>
      <c r="EM311" s="18" t="s">
        <v>5514</v>
      </c>
      <c r="EN311" s="18" t="s">
        <v>113</v>
      </c>
      <c r="EO311" s="18" t="s">
        <v>113</v>
      </c>
      <c r="EP311" s="18" t="s">
        <v>113</v>
      </c>
      <c r="EQ311" s="18" t="s">
        <v>113</v>
      </c>
      <c r="ER311" s="18" t="s">
        <v>5155</v>
      </c>
      <c r="ES311" s="18" t="s">
        <v>5447</v>
      </c>
      <c r="ET311" s="18" t="s">
        <v>5154</v>
      </c>
      <c r="EU311" s="18" t="s">
        <v>5155</v>
      </c>
      <c r="EV311" s="18" t="s">
        <v>5647</v>
      </c>
      <c r="EW311" s="18" t="s">
        <v>5766</v>
      </c>
      <c r="EX311" s="18" t="s">
        <v>5158</v>
      </c>
      <c r="EY311" s="18" t="s">
        <v>5229</v>
      </c>
      <c r="EZ311" s="18" t="s">
        <v>5308</v>
      </c>
      <c r="FA311" s="18" t="s">
        <v>144</v>
      </c>
      <c r="FB311" s="18" t="s">
        <v>5161</v>
      </c>
    </row>
    <row r="312" spans="1:158" ht="10.5" customHeight="1" x14ac:dyDescent="0.2">
      <c r="A312" s="16">
        <v>41</v>
      </c>
      <c r="B312" s="16" t="s">
        <v>2882</v>
      </c>
      <c r="C312" s="16" t="s">
        <v>2881</v>
      </c>
      <c r="D312" s="16">
        <v>9628</v>
      </c>
      <c r="E312" s="16" t="s">
        <v>6656</v>
      </c>
      <c r="F312" s="18" t="s">
        <v>2881</v>
      </c>
      <c r="G312" s="18" t="s">
        <v>106</v>
      </c>
      <c r="H312" s="15" t="s">
        <v>5127</v>
      </c>
      <c r="I312" s="18">
        <v>8</v>
      </c>
      <c r="J312" s="18">
        <v>4</v>
      </c>
      <c r="K312" s="18">
        <v>4</v>
      </c>
      <c r="M312" s="18" t="s">
        <v>5183</v>
      </c>
      <c r="N312" s="18" t="s">
        <v>2887</v>
      </c>
      <c r="O312" s="18">
        <v>46281</v>
      </c>
      <c r="T312" s="18" t="s">
        <v>111</v>
      </c>
      <c r="U312" s="18" t="s">
        <v>5250</v>
      </c>
      <c r="V312" s="18" t="s">
        <v>106</v>
      </c>
      <c r="W312" s="18" t="s">
        <v>5211</v>
      </c>
      <c r="Y312" s="18" t="s">
        <v>5407</v>
      </c>
      <c r="Z312" s="18" t="s">
        <v>106</v>
      </c>
      <c r="AA312" s="18" t="s">
        <v>5163</v>
      </c>
      <c r="AC312" s="18" t="s">
        <v>5127</v>
      </c>
      <c r="AD312" s="18" t="s">
        <v>5127</v>
      </c>
      <c r="AE312" s="18" t="s">
        <v>5127</v>
      </c>
      <c r="AF312" s="18" t="s">
        <v>5127</v>
      </c>
      <c r="AG312" s="18" t="s">
        <v>5127</v>
      </c>
      <c r="AH312" s="18" t="s">
        <v>5127</v>
      </c>
      <c r="AI312" s="18">
        <v>1</v>
      </c>
      <c r="AK312" s="18" t="s">
        <v>5164</v>
      </c>
      <c r="AN312" s="18">
        <v>0</v>
      </c>
      <c r="AO312" s="18" t="s">
        <v>5186</v>
      </c>
      <c r="AP312" s="18" t="s">
        <v>6210</v>
      </c>
      <c r="AQ312" s="18" t="s">
        <v>5252</v>
      </c>
      <c r="AR312" s="18" t="s">
        <v>5168</v>
      </c>
      <c r="AT312" s="17">
        <f>(365*D312*0.7)/1000</f>
        <v>2459.9540000000002</v>
      </c>
      <c r="AU312" s="17">
        <f t="shared" si="12"/>
        <v>0</v>
      </c>
      <c r="AV312" s="18">
        <v>0</v>
      </c>
      <c r="AW312" s="18">
        <v>0</v>
      </c>
      <c r="AY312" s="18" t="s">
        <v>6211</v>
      </c>
      <c r="BG312" s="18" t="s">
        <v>5426</v>
      </c>
      <c r="BQ312" s="18">
        <v>4.8</v>
      </c>
      <c r="BR312" s="18">
        <v>15.5</v>
      </c>
      <c r="BS312" s="18">
        <v>0</v>
      </c>
      <c r="BT312" s="18">
        <v>0</v>
      </c>
      <c r="BU312" s="18">
        <v>84</v>
      </c>
      <c r="BV312" s="18">
        <f t="shared" si="15"/>
        <v>104.3</v>
      </c>
      <c r="BW312" s="15">
        <f t="shared" si="13"/>
        <v>104.3</v>
      </c>
      <c r="BY312" s="18" t="s">
        <v>5134</v>
      </c>
      <c r="BZ312" s="18" t="s">
        <v>193</v>
      </c>
      <c r="CD312" s="18" t="s">
        <v>5127</v>
      </c>
      <c r="CE312" s="18" t="s">
        <v>111</v>
      </c>
      <c r="CF312" s="18" t="s">
        <v>5135</v>
      </c>
      <c r="CG312" s="18" t="s">
        <v>5804</v>
      </c>
      <c r="CH312" s="18" t="s">
        <v>5241</v>
      </c>
      <c r="CI312" s="18" t="s">
        <v>5138</v>
      </c>
      <c r="CJ312" s="18" t="s">
        <v>5139</v>
      </c>
      <c r="CK312" s="18" t="s">
        <v>5197</v>
      </c>
      <c r="CL312" s="18">
        <v>1</v>
      </c>
      <c r="CM312" s="18">
        <v>1</v>
      </c>
      <c r="CN312" s="18">
        <v>0</v>
      </c>
      <c r="CO312" s="18">
        <v>1</v>
      </c>
      <c r="CP312" s="18">
        <v>0</v>
      </c>
      <c r="CQ312" s="18">
        <v>0</v>
      </c>
      <c r="CR312" s="18">
        <v>0</v>
      </c>
      <c r="CS312" s="18">
        <v>1</v>
      </c>
      <c r="CT312" s="18">
        <v>1</v>
      </c>
      <c r="CU312" s="18">
        <v>1</v>
      </c>
      <c r="CV312" s="18">
        <v>5</v>
      </c>
      <c r="CX312" s="18">
        <v>0</v>
      </c>
      <c r="CY312" s="18">
        <v>0</v>
      </c>
      <c r="CZ312" s="18">
        <v>1</v>
      </c>
      <c r="DA312" s="18">
        <v>1</v>
      </c>
      <c r="DB312" s="18">
        <v>0</v>
      </c>
      <c r="DC312" s="18">
        <v>1</v>
      </c>
      <c r="DD312" s="18">
        <v>1</v>
      </c>
      <c r="DE312" s="18">
        <v>1</v>
      </c>
      <c r="DF312" s="18">
        <v>1</v>
      </c>
      <c r="DG312" s="18">
        <v>1</v>
      </c>
      <c r="DH312" s="18">
        <v>0</v>
      </c>
      <c r="DI312" s="18">
        <v>1</v>
      </c>
      <c r="DK312" s="18">
        <v>1</v>
      </c>
      <c r="DL312" s="18">
        <v>1</v>
      </c>
      <c r="DM312" s="18" t="s">
        <v>5127</v>
      </c>
      <c r="DN312" s="18" t="s">
        <v>5172</v>
      </c>
      <c r="DO312" s="18" t="s">
        <v>6212</v>
      </c>
      <c r="DP312" s="18" t="s">
        <v>113</v>
      </c>
      <c r="DQ312" s="18" t="s">
        <v>179</v>
      </c>
      <c r="DS312" s="18">
        <v>0</v>
      </c>
      <c r="DT312" s="18">
        <v>0</v>
      </c>
      <c r="DU312" s="18">
        <v>1</v>
      </c>
      <c r="DV312" s="18" t="s">
        <v>5822</v>
      </c>
      <c r="DX312" s="18" t="s">
        <v>5145</v>
      </c>
      <c r="DY312" s="18" t="s">
        <v>106</v>
      </c>
      <c r="DZ312" s="18" t="s">
        <v>106</v>
      </c>
      <c r="EA312" s="18" t="s">
        <v>5175</v>
      </c>
      <c r="EB312" s="18">
        <v>175</v>
      </c>
      <c r="EC312" s="18" t="s">
        <v>106</v>
      </c>
      <c r="ED312" s="18" t="s">
        <v>5176</v>
      </c>
      <c r="EE312" s="18" t="s">
        <v>106</v>
      </c>
      <c r="EF312" s="18" t="s">
        <v>113</v>
      </c>
      <c r="EG312" s="18" t="s">
        <v>5148</v>
      </c>
      <c r="EH312" s="18" t="s">
        <v>5203</v>
      </c>
      <c r="EI312" s="18" t="s">
        <v>5204</v>
      </c>
      <c r="EJ312" s="18" t="s">
        <v>6213</v>
      </c>
      <c r="EK312" s="18" t="s">
        <v>113</v>
      </c>
      <c r="EN312" s="18" t="s">
        <v>106</v>
      </c>
      <c r="EO312" s="18" t="s">
        <v>113</v>
      </c>
      <c r="EP312" s="18" t="s">
        <v>113</v>
      </c>
      <c r="EQ312" s="18" t="s">
        <v>113</v>
      </c>
      <c r="ER312" s="18" t="s">
        <v>5152</v>
      </c>
      <c r="ES312" s="18" t="s">
        <v>5153</v>
      </c>
      <c r="ET312" s="18" t="s">
        <v>5154</v>
      </c>
      <c r="EU312" s="18" t="s">
        <v>5318</v>
      </c>
      <c r="EV312" s="18" t="s">
        <v>5353</v>
      </c>
      <c r="EW312" s="18" t="s">
        <v>6214</v>
      </c>
      <c r="EX312" s="18" t="s">
        <v>5158</v>
      </c>
      <c r="EY312" s="18" t="s">
        <v>5229</v>
      </c>
      <c r="EZ312" s="18" t="s">
        <v>5160</v>
      </c>
      <c r="FA312" s="18" t="s">
        <v>144</v>
      </c>
      <c r="FB312" s="18" t="s">
        <v>5161</v>
      </c>
    </row>
    <row r="313" spans="1:158" ht="10.5" customHeight="1" x14ac:dyDescent="0.2">
      <c r="A313" s="16">
        <v>41</v>
      </c>
      <c r="B313" s="16" t="s">
        <v>4559</v>
      </c>
      <c r="C313" s="16" t="s">
        <v>4560</v>
      </c>
      <c r="D313" s="16">
        <v>57120</v>
      </c>
      <c r="E313" s="16" t="s">
        <v>6658</v>
      </c>
      <c r="F313" s="18" t="s">
        <v>4560</v>
      </c>
      <c r="G313" s="18" t="s">
        <v>106</v>
      </c>
      <c r="H313" s="15" t="s">
        <v>5127</v>
      </c>
      <c r="I313" s="18">
        <v>38</v>
      </c>
      <c r="J313" s="18">
        <v>23</v>
      </c>
      <c r="K313" s="18">
        <v>15</v>
      </c>
      <c r="L313" s="18">
        <v>0</v>
      </c>
      <c r="M313" s="18" t="s">
        <v>5230</v>
      </c>
      <c r="N313" s="18" t="s">
        <v>6215</v>
      </c>
      <c r="O313" s="18">
        <v>46597</v>
      </c>
      <c r="T313" s="18" t="s">
        <v>5240</v>
      </c>
      <c r="U313" s="18" t="s">
        <v>5185</v>
      </c>
      <c r="V313" s="18" t="s">
        <v>106</v>
      </c>
      <c r="W313" s="18" t="s">
        <v>5211</v>
      </c>
      <c r="Y313" s="18" t="s">
        <v>5162</v>
      </c>
      <c r="Z313" s="18" t="s">
        <v>106</v>
      </c>
      <c r="AA313" s="18" t="s">
        <v>5163</v>
      </c>
      <c r="AB313" s="18" t="s">
        <v>179</v>
      </c>
      <c r="AC313" s="18" t="s">
        <v>5127</v>
      </c>
      <c r="AD313" s="18" t="s">
        <v>5127</v>
      </c>
      <c r="AE313" s="18" t="s">
        <v>5127</v>
      </c>
      <c r="AF313" s="18" t="s">
        <v>5127</v>
      </c>
      <c r="AG313" s="18" t="s">
        <v>5127</v>
      </c>
      <c r="AH313" s="18" t="s">
        <v>5127</v>
      </c>
      <c r="AI313" s="18">
        <v>1</v>
      </c>
      <c r="AK313" s="18" t="s">
        <v>5164</v>
      </c>
      <c r="AN313" s="18">
        <v>0</v>
      </c>
      <c r="AO313" s="18" t="s">
        <v>5165</v>
      </c>
      <c r="AP313" s="18" t="s">
        <v>6216</v>
      </c>
      <c r="AQ313" s="18" t="s">
        <v>5311</v>
      </c>
      <c r="AR313" s="18" t="s">
        <v>5168</v>
      </c>
      <c r="AT313" s="17">
        <f>(365*D313*0.7)/1000</f>
        <v>14594.16</v>
      </c>
      <c r="AU313" s="17">
        <f t="shared" si="12"/>
        <v>253</v>
      </c>
      <c r="AV313" s="18">
        <v>253</v>
      </c>
      <c r="AW313" s="18">
        <v>0</v>
      </c>
      <c r="AY313" s="18" t="s">
        <v>6217</v>
      </c>
      <c r="BG313" s="18" t="s">
        <v>5238</v>
      </c>
      <c r="BQ313" s="18">
        <v>307</v>
      </c>
      <c r="BR313" s="18">
        <v>201</v>
      </c>
      <c r="BS313" s="18">
        <v>70</v>
      </c>
      <c r="BT313" s="18">
        <v>179</v>
      </c>
      <c r="BU313" s="18">
        <v>15</v>
      </c>
      <c r="BV313" s="18">
        <f t="shared" si="15"/>
        <v>772</v>
      </c>
      <c r="BW313" s="15">
        <f t="shared" si="13"/>
        <v>772</v>
      </c>
      <c r="BY313" s="18" t="s">
        <v>5239</v>
      </c>
      <c r="BZ313" s="18" t="s">
        <v>193</v>
      </c>
      <c r="CD313" s="18" t="s">
        <v>5127</v>
      </c>
      <c r="CE313" s="18" t="s">
        <v>111</v>
      </c>
      <c r="CF313" s="18" t="s">
        <v>5282</v>
      </c>
      <c r="CG313" s="18" t="s">
        <v>6188</v>
      </c>
      <c r="CH313" s="18" t="s">
        <v>5556</v>
      </c>
      <c r="CI313" s="18" t="s">
        <v>5138</v>
      </c>
      <c r="CJ313" s="18" t="s">
        <v>5196</v>
      </c>
      <c r="CK313" s="18" t="s">
        <v>5197</v>
      </c>
      <c r="CL313" s="18">
        <v>2</v>
      </c>
      <c r="CM313" s="18">
        <v>0</v>
      </c>
      <c r="CN313" s="18">
        <v>0</v>
      </c>
      <c r="CO313" s="18">
        <v>1</v>
      </c>
      <c r="CP313" s="18">
        <v>5</v>
      </c>
      <c r="CQ313" s="18">
        <v>1</v>
      </c>
      <c r="CR313" s="18" t="s">
        <v>5141</v>
      </c>
      <c r="CS313" s="18" t="s">
        <v>5141</v>
      </c>
      <c r="CT313" s="18">
        <v>1</v>
      </c>
      <c r="CU313" s="18">
        <v>0</v>
      </c>
      <c r="CV313" s="18">
        <v>1</v>
      </c>
      <c r="CX313" s="18">
        <v>0</v>
      </c>
      <c r="CY313" s="18">
        <v>1</v>
      </c>
      <c r="CZ313" s="18">
        <v>0</v>
      </c>
      <c r="DA313" s="18">
        <v>2</v>
      </c>
      <c r="DB313" s="18">
        <v>1</v>
      </c>
      <c r="DC313" s="18">
        <v>2</v>
      </c>
      <c r="DD313" s="18">
        <v>0</v>
      </c>
      <c r="DE313" s="18">
        <v>0</v>
      </c>
      <c r="DF313" s="18">
        <v>0</v>
      </c>
      <c r="DG313" s="18">
        <v>0</v>
      </c>
      <c r="DH313" s="18">
        <v>2</v>
      </c>
      <c r="DI313" s="18">
        <v>2</v>
      </c>
      <c r="DK313" s="18">
        <v>0</v>
      </c>
      <c r="DL313" s="18">
        <v>1</v>
      </c>
      <c r="DM313" s="18" t="s">
        <v>5127</v>
      </c>
      <c r="DN313" s="18" t="s">
        <v>5258</v>
      </c>
      <c r="DO313" s="18" t="s">
        <v>5488</v>
      </c>
      <c r="DP313" s="18" t="s">
        <v>113</v>
      </c>
      <c r="DS313" s="18">
        <v>0</v>
      </c>
      <c r="DT313" s="18">
        <v>2</v>
      </c>
      <c r="DU313" s="18">
        <v>2</v>
      </c>
      <c r="DV313" s="18" t="s">
        <v>5444</v>
      </c>
      <c r="DX313" s="18" t="s">
        <v>5222</v>
      </c>
      <c r="DY313" s="18" t="s">
        <v>113</v>
      </c>
      <c r="DZ313" s="18" t="s">
        <v>113</v>
      </c>
      <c r="EA313" s="18" t="s">
        <v>5261</v>
      </c>
      <c r="EB313" s="18">
        <v>773</v>
      </c>
      <c r="EC313" s="18" t="s">
        <v>106</v>
      </c>
      <c r="ED313" s="18" t="s">
        <v>5176</v>
      </c>
      <c r="EE313" s="18" t="s">
        <v>106</v>
      </c>
      <c r="EF313" s="18" t="s">
        <v>113</v>
      </c>
      <c r="EG313" s="18" t="s">
        <v>6218</v>
      </c>
      <c r="EH313" s="18" t="s">
        <v>5203</v>
      </c>
      <c r="EI313" s="18" t="s">
        <v>5204</v>
      </c>
      <c r="EJ313" s="18" t="s">
        <v>5327</v>
      </c>
      <c r="EK313" s="18" t="s">
        <v>113</v>
      </c>
      <c r="EN313" s="18" t="s">
        <v>113</v>
      </c>
      <c r="EO313" s="18" t="s">
        <v>113</v>
      </c>
      <c r="EP313" s="18" t="s">
        <v>106</v>
      </c>
      <c r="EQ313" s="18" t="s">
        <v>113</v>
      </c>
      <c r="ER313" s="18" t="s">
        <v>5152</v>
      </c>
      <c r="ES313" s="18" t="s">
        <v>5153</v>
      </c>
      <c r="ET313" s="18" t="s">
        <v>5154</v>
      </c>
      <c r="EU313" s="18" t="s">
        <v>5318</v>
      </c>
      <c r="EV313" s="18" t="s">
        <v>5941</v>
      </c>
      <c r="EW313" s="18" t="s">
        <v>5972</v>
      </c>
      <c r="EX313" s="18" t="s">
        <v>5158</v>
      </c>
      <c r="EY313" s="18" t="s">
        <v>5800</v>
      </c>
      <c r="EZ313" s="18" t="s">
        <v>5160</v>
      </c>
      <c r="FA313" s="18" t="s">
        <v>144</v>
      </c>
      <c r="FB313" s="18" t="s">
        <v>5161</v>
      </c>
    </row>
    <row r="314" spans="1:158" ht="10.5" customHeight="1" x14ac:dyDescent="0.2">
      <c r="A314" s="16">
        <v>41</v>
      </c>
      <c r="B314" s="16" t="s">
        <v>2900</v>
      </c>
      <c r="C314" s="16" t="s">
        <v>2899</v>
      </c>
      <c r="D314" s="16">
        <v>6136</v>
      </c>
      <c r="E314" s="16" t="s">
        <v>6656</v>
      </c>
      <c r="F314" s="18" t="s">
        <v>2899</v>
      </c>
      <c r="G314" s="18" t="s">
        <v>106</v>
      </c>
      <c r="H314" s="15" t="s">
        <v>5127</v>
      </c>
      <c r="I314" s="18">
        <v>8</v>
      </c>
      <c r="J314" s="18">
        <v>4</v>
      </c>
      <c r="K314" s="18">
        <v>4</v>
      </c>
      <c r="L314" s="18">
        <v>0</v>
      </c>
      <c r="M314" s="18" t="s">
        <v>5183</v>
      </c>
      <c r="N314" s="18" t="s">
        <v>6219</v>
      </c>
      <c r="T314" s="18" t="s">
        <v>111</v>
      </c>
      <c r="U314" s="18" t="s">
        <v>5123</v>
      </c>
      <c r="V314" s="18" t="s">
        <v>106</v>
      </c>
      <c r="W314" s="18" t="s">
        <v>5211</v>
      </c>
      <c r="Y314" s="18" t="s">
        <v>5232</v>
      </c>
      <c r="Z314" s="18" t="s">
        <v>106</v>
      </c>
      <c r="AA314" s="18" t="s">
        <v>5163</v>
      </c>
      <c r="AB314" s="18" t="s">
        <v>179</v>
      </c>
      <c r="AC314" s="18" t="s">
        <v>5127</v>
      </c>
      <c r="AD314" s="18" t="s">
        <v>5127</v>
      </c>
      <c r="AE314" s="18" t="s">
        <v>5127</v>
      </c>
      <c r="AF314" s="18" t="s">
        <v>111</v>
      </c>
      <c r="AG314" s="18" t="s">
        <v>5127</v>
      </c>
      <c r="AH314" s="18" t="s">
        <v>5127</v>
      </c>
      <c r="AI314" s="18">
        <v>1</v>
      </c>
      <c r="AK314" s="18" t="s">
        <v>5279</v>
      </c>
      <c r="AN314" s="18">
        <v>384</v>
      </c>
      <c r="AO314" s="18" t="s">
        <v>5186</v>
      </c>
      <c r="AP314" s="18" t="s">
        <v>6220</v>
      </c>
      <c r="AQ314" s="18" t="s">
        <v>5711</v>
      </c>
      <c r="AR314" s="18" t="s">
        <v>5168</v>
      </c>
      <c r="AT314" s="17">
        <f>(365*D314*0.7)/1000</f>
        <v>1567.748</v>
      </c>
      <c r="AU314" s="17">
        <f t="shared" si="12"/>
        <v>830</v>
      </c>
      <c r="AV314" s="18">
        <v>830</v>
      </c>
      <c r="AW314" s="18">
        <v>0</v>
      </c>
      <c r="AY314" s="18" t="s">
        <v>5334</v>
      </c>
      <c r="AZ314" s="18">
        <f>80/1000</f>
        <v>0.08</v>
      </c>
      <c r="BA314" s="18">
        <v>0</v>
      </c>
      <c r="BB314" s="18">
        <v>0</v>
      </c>
      <c r="BD314" s="18">
        <v>0</v>
      </c>
      <c r="BG314" s="18" t="s">
        <v>5663</v>
      </c>
      <c r="BH314" s="18">
        <v>0</v>
      </c>
      <c r="BI314" s="18">
        <v>0</v>
      </c>
      <c r="BJ314" s="18">
        <v>0</v>
      </c>
      <c r="BQ314" s="18">
        <v>170.9</v>
      </c>
      <c r="BR314" s="18">
        <v>94.3</v>
      </c>
      <c r="BS314" s="18">
        <v>27.8</v>
      </c>
      <c r="BT314" s="18">
        <v>47.9</v>
      </c>
      <c r="BU314" s="18">
        <v>3.2</v>
      </c>
      <c r="BV314" s="18">
        <f t="shared" si="15"/>
        <v>344.09999999999997</v>
      </c>
      <c r="BW314" s="15">
        <f t="shared" si="13"/>
        <v>344.09999999999997</v>
      </c>
      <c r="BY314" s="18" t="s">
        <v>5134</v>
      </c>
      <c r="BZ314" s="18" t="s">
        <v>193</v>
      </c>
      <c r="CD314" s="18" t="s">
        <v>5127</v>
      </c>
      <c r="CE314" s="18" t="s">
        <v>111</v>
      </c>
      <c r="CF314" s="18" t="s">
        <v>5135</v>
      </c>
      <c r="CG314" s="18" t="s">
        <v>5715</v>
      </c>
      <c r="CH314" s="18" t="s">
        <v>5241</v>
      </c>
      <c r="CI314" s="18" t="s">
        <v>5138</v>
      </c>
      <c r="CJ314" s="18" t="s">
        <v>5196</v>
      </c>
      <c r="CK314" s="18" t="s">
        <v>5197</v>
      </c>
      <c r="CL314" s="18">
        <v>3</v>
      </c>
      <c r="CM314" s="18">
        <v>0</v>
      </c>
      <c r="CN314" s="18">
        <v>1</v>
      </c>
      <c r="CO314" s="18">
        <v>1</v>
      </c>
      <c r="CP314" s="18">
        <v>2</v>
      </c>
      <c r="CQ314" s="18">
        <v>2</v>
      </c>
      <c r="CR314" s="18">
        <v>0</v>
      </c>
      <c r="CS314" s="18" t="s">
        <v>5141</v>
      </c>
      <c r="CT314" s="18">
        <v>1</v>
      </c>
      <c r="CU314" s="18">
        <v>0</v>
      </c>
      <c r="CV314" s="18" t="s">
        <v>5141</v>
      </c>
      <c r="CX314" s="18">
        <v>1</v>
      </c>
      <c r="CY314" s="18">
        <v>1</v>
      </c>
      <c r="CZ314" s="18">
        <v>0</v>
      </c>
      <c r="DA314" s="18">
        <v>0</v>
      </c>
      <c r="DB314" s="18">
        <v>1</v>
      </c>
      <c r="DC314" s="18">
        <v>0</v>
      </c>
      <c r="DD314" s="18">
        <v>0</v>
      </c>
      <c r="DE314" s="18">
        <v>0</v>
      </c>
      <c r="DF314" s="18">
        <v>0</v>
      </c>
      <c r="DG314" s="18">
        <v>1</v>
      </c>
      <c r="DH314" s="18">
        <v>0</v>
      </c>
      <c r="DI314" s="18" t="s">
        <v>5141</v>
      </c>
      <c r="DK314" s="18">
        <v>0</v>
      </c>
      <c r="DL314" s="18">
        <v>0</v>
      </c>
      <c r="DM314" s="18" t="s">
        <v>5127</v>
      </c>
      <c r="DN314" s="18" t="s">
        <v>5172</v>
      </c>
      <c r="DO314" s="18" t="s">
        <v>5173</v>
      </c>
      <c r="DP314" s="18" t="s">
        <v>113</v>
      </c>
      <c r="DS314" s="18">
        <v>0</v>
      </c>
      <c r="DT314" s="18">
        <v>2</v>
      </c>
      <c r="DU314" s="18">
        <v>1</v>
      </c>
      <c r="DV314" s="18" t="s">
        <v>5260</v>
      </c>
      <c r="DX314" s="18" t="s">
        <v>5222</v>
      </c>
      <c r="DY314" s="18" t="s">
        <v>106</v>
      </c>
      <c r="DZ314" s="18" t="s">
        <v>113</v>
      </c>
      <c r="EA314" s="18" t="s">
        <v>5202</v>
      </c>
      <c r="EB314" s="18">
        <v>344</v>
      </c>
      <c r="EC314" s="18" t="s">
        <v>106</v>
      </c>
      <c r="ED314" s="18" t="s">
        <v>5147</v>
      </c>
      <c r="EE314" s="18" t="s">
        <v>113</v>
      </c>
      <c r="EF314" s="18" t="s">
        <v>113</v>
      </c>
      <c r="EH314" s="18" t="s">
        <v>5203</v>
      </c>
      <c r="EI314" s="18" t="s">
        <v>5204</v>
      </c>
      <c r="EJ314" s="18" t="s">
        <v>5646</v>
      </c>
      <c r="EK314" s="18" t="s">
        <v>113</v>
      </c>
      <c r="EN314" s="18" t="s">
        <v>113</v>
      </c>
      <c r="EO314" s="18" t="s">
        <v>113</v>
      </c>
      <c r="EP314" s="18" t="s">
        <v>113</v>
      </c>
      <c r="EQ314" s="18" t="s">
        <v>113</v>
      </c>
      <c r="ER314" s="18" t="s">
        <v>5152</v>
      </c>
      <c r="ES314" s="18" t="s">
        <v>5153</v>
      </c>
      <c r="ET314" s="18" t="s">
        <v>5154</v>
      </c>
      <c r="EU314" s="18" t="s">
        <v>5155</v>
      </c>
      <c r="EV314" s="18" t="s">
        <v>5290</v>
      </c>
      <c r="EW314" s="18" t="s">
        <v>5208</v>
      </c>
      <c r="EX314" s="18" t="s">
        <v>5158</v>
      </c>
      <c r="EY314" s="18" t="s">
        <v>5522</v>
      </c>
      <c r="EZ314" s="18" t="s">
        <v>5160</v>
      </c>
      <c r="FA314" s="18" t="s">
        <v>144</v>
      </c>
      <c r="FB314" s="18" t="s">
        <v>5161</v>
      </c>
    </row>
    <row r="315" spans="1:158" ht="10.5" customHeight="1" x14ac:dyDescent="0.2">
      <c r="A315" s="16">
        <v>41</v>
      </c>
      <c r="B315" s="16" t="s">
        <v>2900</v>
      </c>
      <c r="C315" s="16" t="s">
        <v>2899</v>
      </c>
      <c r="D315" s="16">
        <v>6136</v>
      </c>
      <c r="E315" s="16" t="s">
        <v>6656</v>
      </c>
      <c r="F315" s="18" t="s">
        <v>2899</v>
      </c>
      <c r="G315" s="18" t="s">
        <v>106</v>
      </c>
      <c r="H315" s="15" t="s">
        <v>5127</v>
      </c>
      <c r="I315" s="18">
        <v>13</v>
      </c>
      <c r="J315" s="18">
        <v>2</v>
      </c>
      <c r="K315" s="18">
        <v>11</v>
      </c>
      <c r="L315" s="18">
        <v>0</v>
      </c>
      <c r="M315" s="18" t="s">
        <v>5230</v>
      </c>
      <c r="N315" s="18" t="s">
        <v>2272</v>
      </c>
      <c r="T315" s="18" t="s">
        <v>111</v>
      </c>
      <c r="U315" s="18" t="s">
        <v>5123</v>
      </c>
      <c r="V315" s="18" t="s">
        <v>106</v>
      </c>
      <c r="W315" s="18" t="s">
        <v>5211</v>
      </c>
      <c r="Y315" s="18" t="s">
        <v>6221</v>
      </c>
      <c r="Z315" s="18" t="s">
        <v>106</v>
      </c>
      <c r="AA315" s="18" t="s">
        <v>5163</v>
      </c>
      <c r="AB315" s="18" t="s">
        <v>5233</v>
      </c>
      <c r="AC315" s="18" t="s">
        <v>5127</v>
      </c>
      <c r="AD315" s="18" t="s">
        <v>5127</v>
      </c>
      <c r="AE315" s="18" t="s">
        <v>5127</v>
      </c>
      <c r="AF315" s="18" t="s">
        <v>5127</v>
      </c>
      <c r="AG315" s="18" t="s">
        <v>5127</v>
      </c>
      <c r="AH315" s="18" t="s">
        <v>5127</v>
      </c>
      <c r="AI315" s="18">
        <v>1</v>
      </c>
      <c r="AK315" s="18" t="s">
        <v>5164</v>
      </c>
      <c r="AN315" s="18">
        <v>600</v>
      </c>
      <c r="AO315" s="18" t="s">
        <v>5863</v>
      </c>
      <c r="AP315" s="18" t="s">
        <v>6222</v>
      </c>
      <c r="AQ315" s="18" t="s">
        <v>6223</v>
      </c>
      <c r="AR315" s="18" t="s">
        <v>5168</v>
      </c>
      <c r="AT315" s="17">
        <f>(365*D315*0.7)/1000</f>
        <v>1567.748</v>
      </c>
      <c r="AU315" s="17">
        <f t="shared" si="12"/>
        <v>300</v>
      </c>
      <c r="AV315" s="18">
        <v>300</v>
      </c>
      <c r="AW315" s="18" t="s">
        <v>126</v>
      </c>
      <c r="AY315" s="18" t="s">
        <v>6224</v>
      </c>
      <c r="AZ315" s="18">
        <f>20/1000</f>
        <v>0.02</v>
      </c>
      <c r="BA315" s="18">
        <v>0</v>
      </c>
      <c r="BB315" s="18">
        <v>100</v>
      </c>
      <c r="BG315" s="18" t="s">
        <v>5169</v>
      </c>
      <c r="BH315" s="18">
        <f>2000/1000</f>
        <v>2</v>
      </c>
      <c r="BQ315" s="18">
        <v>100</v>
      </c>
      <c r="BR315" s="18">
        <v>100</v>
      </c>
      <c r="BS315" s="18">
        <v>100</v>
      </c>
      <c r="BT315" s="18">
        <v>100</v>
      </c>
      <c r="BU315" s="18">
        <v>100</v>
      </c>
      <c r="BV315" s="18">
        <f t="shared" si="15"/>
        <v>500</v>
      </c>
      <c r="BW315" s="15">
        <f t="shared" si="13"/>
        <v>500</v>
      </c>
      <c r="BY315" s="18" t="s">
        <v>5134</v>
      </c>
      <c r="BZ315" s="18" t="s">
        <v>5494</v>
      </c>
      <c r="CD315" s="18" t="s">
        <v>5127</v>
      </c>
      <c r="CE315" s="18" t="s">
        <v>5127</v>
      </c>
      <c r="CF315" s="18" t="s">
        <v>5135</v>
      </c>
      <c r="CG315" s="18" t="s">
        <v>5644</v>
      </c>
      <c r="CH315" s="18" t="s">
        <v>5241</v>
      </c>
      <c r="CI315" s="18" t="s">
        <v>5138</v>
      </c>
      <c r="CJ315" s="18" t="s">
        <v>5196</v>
      </c>
      <c r="CK315" s="18" t="s">
        <v>5197</v>
      </c>
      <c r="CL315" s="18">
        <v>2</v>
      </c>
      <c r="CM315" s="18">
        <v>0</v>
      </c>
      <c r="CN315" s="18">
        <v>1</v>
      </c>
      <c r="CO315" s="18">
        <v>1</v>
      </c>
      <c r="CP315" s="18">
        <v>2</v>
      </c>
      <c r="CQ315" s="18">
        <v>0</v>
      </c>
      <c r="CR315" s="18" t="s">
        <v>5141</v>
      </c>
      <c r="CS315" s="18" t="s">
        <v>5141</v>
      </c>
      <c r="CT315" s="18">
        <v>1</v>
      </c>
      <c r="CU315" s="18">
        <v>1</v>
      </c>
      <c r="CV315" s="18" t="s">
        <v>5141</v>
      </c>
      <c r="CX315" s="18">
        <v>1</v>
      </c>
      <c r="CY315" s="18">
        <v>1</v>
      </c>
      <c r="CZ315" s="18">
        <v>1</v>
      </c>
      <c r="DA315" s="18">
        <v>1</v>
      </c>
      <c r="DB315" s="18">
        <v>1</v>
      </c>
      <c r="DC315" s="18">
        <v>1</v>
      </c>
      <c r="DD315" s="18">
        <v>1</v>
      </c>
      <c r="DE315" s="18" t="s">
        <v>5141</v>
      </c>
      <c r="DF315" s="18" t="s">
        <v>5141</v>
      </c>
      <c r="DG315" s="18">
        <v>1</v>
      </c>
      <c r="DH315" s="18">
        <v>1</v>
      </c>
      <c r="DI315" s="18" t="s">
        <v>5141</v>
      </c>
      <c r="DK315" s="18">
        <v>0</v>
      </c>
      <c r="DL315" s="18">
        <v>1</v>
      </c>
      <c r="DM315" s="18" t="s">
        <v>5127</v>
      </c>
      <c r="DN315" s="18" t="s">
        <v>5172</v>
      </c>
      <c r="DO315" s="18" t="s">
        <v>6225</v>
      </c>
      <c r="DP315" s="18" t="s">
        <v>113</v>
      </c>
      <c r="DQ315" s="18" t="s">
        <v>5168</v>
      </c>
      <c r="DS315" s="18" t="s">
        <v>1365</v>
      </c>
      <c r="DT315" s="18">
        <v>1</v>
      </c>
      <c r="DU315" s="18">
        <v>1</v>
      </c>
      <c r="DV315" s="18" t="s">
        <v>5342</v>
      </c>
      <c r="DX315" s="18" t="s">
        <v>5222</v>
      </c>
      <c r="DY315" s="18" t="s">
        <v>106</v>
      </c>
      <c r="DZ315" s="18" t="s">
        <v>113</v>
      </c>
      <c r="EA315" s="18" t="s">
        <v>5325</v>
      </c>
      <c r="EB315" s="18">
        <v>300</v>
      </c>
      <c r="EC315" s="18" t="s">
        <v>106</v>
      </c>
      <c r="ED315" s="18" t="s">
        <v>5176</v>
      </c>
      <c r="EE315" s="18" t="s">
        <v>113</v>
      </c>
      <c r="EF315" s="18" t="s">
        <v>113</v>
      </c>
      <c r="EG315" s="18" t="s">
        <v>6226</v>
      </c>
      <c r="EH315" s="18" t="s">
        <v>5203</v>
      </c>
      <c r="EI315" s="18" t="s">
        <v>5204</v>
      </c>
      <c r="EJ315" s="18" t="s">
        <v>5245</v>
      </c>
      <c r="EK315" s="18" t="s">
        <v>5362</v>
      </c>
      <c r="EL315" s="18" t="s">
        <v>5460</v>
      </c>
      <c r="EM315" s="18" t="s">
        <v>5227</v>
      </c>
      <c r="EN315" s="18" t="s">
        <v>113</v>
      </c>
      <c r="EO315" s="18" t="s">
        <v>113</v>
      </c>
      <c r="EP315" s="18" t="s">
        <v>113</v>
      </c>
      <c r="EQ315" s="18" t="s">
        <v>113</v>
      </c>
      <c r="ER315" s="18" t="s">
        <v>5152</v>
      </c>
      <c r="ES315" s="18" t="s">
        <v>5654</v>
      </c>
      <c r="ET315" s="18" t="s">
        <v>5154</v>
      </c>
      <c r="EU315" s="18" t="s">
        <v>5318</v>
      </c>
      <c r="EV315" s="18" t="s">
        <v>5629</v>
      </c>
      <c r="EW315" s="18" t="s">
        <v>6227</v>
      </c>
      <c r="EX315" s="18" t="s">
        <v>5158</v>
      </c>
      <c r="EY315" s="18" t="s">
        <v>6228</v>
      </c>
      <c r="EZ315" s="18" t="s">
        <v>5160</v>
      </c>
      <c r="FA315" s="18" t="s">
        <v>144</v>
      </c>
      <c r="FB315" s="18" t="s">
        <v>5161</v>
      </c>
    </row>
    <row r="316" spans="1:158" ht="10.5" customHeight="1" x14ac:dyDescent="0.2">
      <c r="A316" s="16">
        <v>41</v>
      </c>
      <c r="B316" s="16" t="s">
        <v>2917</v>
      </c>
      <c r="C316" s="16" t="s">
        <v>2916</v>
      </c>
      <c r="D316" s="16">
        <v>2258</v>
      </c>
      <c r="E316" s="16" t="s">
        <v>6656</v>
      </c>
      <c r="H316" s="15" t="s">
        <v>6661</v>
      </c>
      <c r="AT316" s="17">
        <f>(365*D316*0.7)/1000</f>
        <v>576.91899999999998</v>
      </c>
      <c r="AU316" s="17">
        <f t="shared" si="12"/>
        <v>0</v>
      </c>
      <c r="BW316" s="15">
        <f t="shared" si="13"/>
        <v>0</v>
      </c>
    </row>
    <row r="317" spans="1:158" ht="10.5" customHeight="1" x14ac:dyDescent="0.2">
      <c r="A317" s="16">
        <v>41</v>
      </c>
      <c r="B317" s="16" t="s">
        <v>2928</v>
      </c>
      <c r="C317" s="16" t="s">
        <v>2927</v>
      </c>
      <c r="D317" s="16">
        <v>2008</v>
      </c>
      <c r="E317" s="16" t="s">
        <v>6656</v>
      </c>
      <c r="F317" s="18" t="s">
        <v>2927</v>
      </c>
      <c r="G317" s="18" t="s">
        <v>113</v>
      </c>
      <c r="H317" s="15" t="s">
        <v>111</v>
      </c>
      <c r="AT317" s="17">
        <f>(365*D317*0.7)/1000</f>
        <v>513.04399999999998</v>
      </c>
      <c r="AU317" s="17">
        <f t="shared" si="12"/>
        <v>0</v>
      </c>
      <c r="BW317" s="15">
        <f t="shared" si="13"/>
        <v>0</v>
      </c>
    </row>
    <row r="318" spans="1:158" ht="10.5" customHeight="1" x14ac:dyDescent="0.2">
      <c r="A318" s="16">
        <v>41</v>
      </c>
      <c r="B318" s="16" t="s">
        <v>2943</v>
      </c>
      <c r="C318" s="16" t="s">
        <v>2942</v>
      </c>
      <c r="D318" s="16">
        <v>11301</v>
      </c>
      <c r="E318" s="16" t="s">
        <v>6656</v>
      </c>
      <c r="F318" s="18" t="s">
        <v>2942</v>
      </c>
      <c r="G318" s="18" t="s">
        <v>106</v>
      </c>
      <c r="H318" s="15" t="s">
        <v>5127</v>
      </c>
      <c r="I318" s="18">
        <v>20</v>
      </c>
      <c r="J318" s="18">
        <v>11</v>
      </c>
      <c r="K318" s="18">
        <v>9</v>
      </c>
      <c r="M318" s="18" t="s">
        <v>5230</v>
      </c>
      <c r="N318" s="18" t="s">
        <v>6229</v>
      </c>
      <c r="O318" s="18">
        <v>45915</v>
      </c>
      <c r="T318" s="18" t="s">
        <v>6005</v>
      </c>
      <c r="U318" s="18" t="s">
        <v>5185</v>
      </c>
      <c r="V318" s="18" t="s">
        <v>106</v>
      </c>
      <c r="W318" s="18" t="s">
        <v>5211</v>
      </c>
      <c r="Y318" s="18" t="s">
        <v>5232</v>
      </c>
      <c r="Z318" s="18" t="s">
        <v>106</v>
      </c>
      <c r="AA318" s="18" t="s">
        <v>5163</v>
      </c>
      <c r="AC318" s="18" t="s">
        <v>5127</v>
      </c>
      <c r="AD318" s="18" t="s">
        <v>5127</v>
      </c>
      <c r="AE318" s="18" t="s">
        <v>5127</v>
      </c>
      <c r="AF318" s="18" t="s">
        <v>111</v>
      </c>
      <c r="AG318" s="18" t="s">
        <v>5127</v>
      </c>
      <c r="AH318" s="18" t="s">
        <v>5127</v>
      </c>
      <c r="AI318" s="18">
        <v>1</v>
      </c>
      <c r="AK318" s="18" t="s">
        <v>5164</v>
      </c>
      <c r="AN318" s="18">
        <v>0</v>
      </c>
      <c r="AO318" s="18" t="s">
        <v>5186</v>
      </c>
      <c r="AP318" s="18" t="s">
        <v>6230</v>
      </c>
      <c r="AQ318" s="18" t="s">
        <v>5252</v>
      </c>
      <c r="AR318" s="18" t="s">
        <v>5168</v>
      </c>
      <c r="AT318" s="17">
        <f>(365*D318*0.7)/1000</f>
        <v>2887.4054999999998</v>
      </c>
      <c r="AU318" s="17">
        <f t="shared" si="12"/>
        <v>13</v>
      </c>
      <c r="AV318" s="18">
        <v>13</v>
      </c>
      <c r="AW318" s="18">
        <v>0</v>
      </c>
      <c r="AY318" s="18" t="s">
        <v>5334</v>
      </c>
      <c r="BG318" s="18" t="s">
        <v>5549</v>
      </c>
      <c r="BQ318" s="18">
        <v>290</v>
      </c>
      <c r="BR318" s="18">
        <v>233</v>
      </c>
      <c r="BS318" s="18">
        <v>12</v>
      </c>
      <c r="BT318" s="18">
        <v>143</v>
      </c>
      <c r="BU318" s="18">
        <v>101</v>
      </c>
      <c r="BV318" s="18">
        <f>SUM(BQ318:BU318)</f>
        <v>779</v>
      </c>
      <c r="BW318" s="15">
        <f t="shared" si="13"/>
        <v>779</v>
      </c>
      <c r="BY318" s="18" t="s">
        <v>5134</v>
      </c>
      <c r="BZ318" s="18" t="s">
        <v>193</v>
      </c>
      <c r="CD318" s="18" t="s">
        <v>5127</v>
      </c>
      <c r="CE318" s="18" t="s">
        <v>111</v>
      </c>
      <c r="CF318" s="18" t="s">
        <v>5282</v>
      </c>
      <c r="CG318" s="18" t="s">
        <v>5193</v>
      </c>
      <c r="CH318" s="18" t="s">
        <v>5241</v>
      </c>
      <c r="CI318" s="18" t="s">
        <v>5138</v>
      </c>
      <c r="CJ318" s="18" t="s">
        <v>5196</v>
      </c>
      <c r="CK318" s="18" t="s">
        <v>5197</v>
      </c>
      <c r="CL318" s="18">
        <v>4</v>
      </c>
      <c r="CM318" s="18">
        <v>1</v>
      </c>
      <c r="CN318" s="18">
        <v>0</v>
      </c>
      <c r="CO318" s="18">
        <v>1</v>
      </c>
      <c r="CP318" s="18">
        <v>1</v>
      </c>
      <c r="CQ318" s="18">
        <v>1</v>
      </c>
      <c r="CR318" s="18">
        <v>0</v>
      </c>
      <c r="CS318" s="18" t="s">
        <v>5141</v>
      </c>
      <c r="CT318" s="18">
        <v>0</v>
      </c>
      <c r="CU318" s="18">
        <v>0</v>
      </c>
      <c r="CV318" s="18" t="s">
        <v>5141</v>
      </c>
      <c r="CX318" s="18">
        <v>1</v>
      </c>
      <c r="CY318" s="18">
        <v>0</v>
      </c>
      <c r="CZ318" s="18">
        <v>1</v>
      </c>
      <c r="DA318" s="18">
        <v>0</v>
      </c>
      <c r="DB318" s="18">
        <v>1</v>
      </c>
      <c r="DC318" s="18">
        <v>1</v>
      </c>
      <c r="DD318" s="18">
        <v>1</v>
      </c>
      <c r="DE318" s="18">
        <v>0</v>
      </c>
      <c r="DF318" s="18" t="s">
        <v>5141</v>
      </c>
      <c r="DG318" s="18">
        <v>1</v>
      </c>
      <c r="DH318" s="18">
        <v>0</v>
      </c>
      <c r="DI318" s="18">
        <v>0</v>
      </c>
      <c r="DK318" s="18">
        <v>0</v>
      </c>
      <c r="DL318" s="18">
        <v>0</v>
      </c>
      <c r="DM318" s="18" t="s">
        <v>111</v>
      </c>
      <c r="DN318" s="18" t="s">
        <v>5172</v>
      </c>
      <c r="DO318" s="18" t="s">
        <v>5259</v>
      </c>
      <c r="DP318" s="18" t="s">
        <v>113</v>
      </c>
      <c r="DQ318" s="18" t="s">
        <v>5168</v>
      </c>
      <c r="DS318" s="18">
        <v>0</v>
      </c>
      <c r="DT318" s="18">
        <v>1</v>
      </c>
      <c r="DU318" s="18">
        <v>1</v>
      </c>
      <c r="DV318" s="18" t="s">
        <v>5342</v>
      </c>
      <c r="DX318" s="18" t="s">
        <v>5201</v>
      </c>
      <c r="DY318" s="18" t="s">
        <v>106</v>
      </c>
      <c r="DZ318" s="18" t="s">
        <v>113</v>
      </c>
      <c r="EA318" s="18" t="s">
        <v>5959</v>
      </c>
      <c r="EB318" s="18">
        <v>784</v>
      </c>
      <c r="EC318" s="18" t="s">
        <v>106</v>
      </c>
      <c r="ED318" s="18" t="s">
        <v>5176</v>
      </c>
      <c r="EE318" s="18" t="s">
        <v>106</v>
      </c>
      <c r="EF318" s="18" t="s">
        <v>106</v>
      </c>
      <c r="EG318" s="18" t="s">
        <v>5404</v>
      </c>
      <c r="EH318" s="18" t="s">
        <v>5203</v>
      </c>
      <c r="EI318" s="18" t="s">
        <v>5204</v>
      </c>
      <c r="EJ318" s="18" t="s">
        <v>5287</v>
      </c>
      <c r="EN318" s="18" t="s">
        <v>113</v>
      </c>
      <c r="EO318" s="18" t="s">
        <v>113</v>
      </c>
      <c r="EP318" s="18" t="s">
        <v>113</v>
      </c>
      <c r="EQ318" s="18" t="s">
        <v>113</v>
      </c>
      <c r="ER318" s="18" t="s">
        <v>5152</v>
      </c>
      <c r="ES318" s="18" t="s">
        <v>5153</v>
      </c>
      <c r="ET318" s="18" t="s">
        <v>5154</v>
      </c>
      <c r="EU318" s="18" t="s">
        <v>5318</v>
      </c>
      <c r="EV318" s="18" t="s">
        <v>5469</v>
      </c>
      <c r="EW318" s="18" t="s">
        <v>5766</v>
      </c>
      <c r="EX318" s="18" t="s">
        <v>5158</v>
      </c>
      <c r="EY318" s="18" t="s">
        <v>5347</v>
      </c>
      <c r="EZ318" s="18" t="s">
        <v>5160</v>
      </c>
      <c r="FA318" s="18" t="s">
        <v>144</v>
      </c>
      <c r="FB318" s="18" t="s">
        <v>5161</v>
      </c>
    </row>
    <row r="319" spans="1:158" ht="10.5" customHeight="1" x14ac:dyDescent="0.2">
      <c r="A319" s="16">
        <v>41</v>
      </c>
      <c r="B319" s="16" t="s">
        <v>2962</v>
      </c>
      <c r="C319" s="16" t="s">
        <v>2961</v>
      </c>
      <c r="D319" s="16">
        <v>11137</v>
      </c>
      <c r="E319" s="16" t="s">
        <v>6656</v>
      </c>
      <c r="F319" s="18" t="s">
        <v>2961</v>
      </c>
      <c r="G319" s="18" t="s">
        <v>106</v>
      </c>
      <c r="H319" s="15" t="s">
        <v>5127</v>
      </c>
      <c r="I319" s="18">
        <v>34</v>
      </c>
      <c r="J319" s="18">
        <v>17</v>
      </c>
      <c r="K319" s="18">
        <v>17</v>
      </c>
      <c r="L319" s="18">
        <v>0</v>
      </c>
      <c r="M319" s="18" t="s">
        <v>5183</v>
      </c>
      <c r="N319" s="18" t="s">
        <v>6231</v>
      </c>
      <c r="O319" s="18">
        <v>45802</v>
      </c>
      <c r="T319" s="18" t="s">
        <v>111</v>
      </c>
      <c r="U319" s="18" t="s">
        <v>5185</v>
      </c>
      <c r="V319" s="18" t="s">
        <v>113</v>
      </c>
      <c r="W319" s="18" t="s">
        <v>5211</v>
      </c>
      <c r="Y319" s="18" t="s">
        <v>5232</v>
      </c>
      <c r="Z319" s="18" t="s">
        <v>106</v>
      </c>
      <c r="AA319" s="18" t="s">
        <v>5163</v>
      </c>
      <c r="AC319" s="18" t="s">
        <v>5127</v>
      </c>
      <c r="AD319" s="18" t="s">
        <v>5127</v>
      </c>
      <c r="AE319" s="18" t="s">
        <v>5127</v>
      </c>
      <c r="AF319" s="18" t="s">
        <v>5127</v>
      </c>
      <c r="AG319" s="18" t="s">
        <v>5127</v>
      </c>
      <c r="AH319" s="18" t="s">
        <v>111</v>
      </c>
      <c r="AI319" s="18">
        <v>1</v>
      </c>
      <c r="AK319" s="18" t="s">
        <v>5164</v>
      </c>
      <c r="AN319" s="18">
        <v>0</v>
      </c>
      <c r="AO319" s="18" t="s">
        <v>5186</v>
      </c>
      <c r="AP319" s="18" t="s">
        <v>6232</v>
      </c>
      <c r="AQ319" s="18" t="s">
        <v>5393</v>
      </c>
      <c r="AR319" s="18" t="s">
        <v>5168</v>
      </c>
      <c r="AT319" s="17">
        <f>(365*D319*0.7)/1000</f>
        <v>2845.5034999999998</v>
      </c>
      <c r="AU319" s="17">
        <f t="shared" si="12"/>
        <v>0</v>
      </c>
      <c r="AV319" s="18">
        <v>0</v>
      </c>
      <c r="AW319" s="18">
        <v>0</v>
      </c>
      <c r="AY319" s="18" t="s">
        <v>5569</v>
      </c>
      <c r="BG319" s="18" t="s">
        <v>5426</v>
      </c>
      <c r="BQ319" s="18">
        <v>0</v>
      </c>
      <c r="BR319" s="18">
        <v>0</v>
      </c>
      <c r="BS319" s="18">
        <v>0</v>
      </c>
      <c r="BT319" s="18">
        <v>0</v>
      </c>
      <c r="BU319" s="18">
        <v>0</v>
      </c>
      <c r="BV319" s="18">
        <f t="shared" ref="BV319:BV321" si="16">SUM(BQ319:BU319)</f>
        <v>0</v>
      </c>
      <c r="BW319" s="15">
        <f t="shared" si="13"/>
        <v>0</v>
      </c>
      <c r="BY319" s="18" t="s">
        <v>5322</v>
      </c>
      <c r="BZ319" s="18" t="s">
        <v>5240</v>
      </c>
      <c r="CD319" s="18" t="s">
        <v>5127</v>
      </c>
      <c r="CE319" s="18" t="s">
        <v>111</v>
      </c>
      <c r="CF319" s="18" t="s">
        <v>5282</v>
      </c>
      <c r="CG319" s="18" t="s">
        <v>6233</v>
      </c>
      <c r="CH319" s="18" t="s">
        <v>5241</v>
      </c>
      <c r="CI319" s="18" t="s">
        <v>111</v>
      </c>
      <c r="CJ319" s="18" t="s">
        <v>5196</v>
      </c>
      <c r="CK319" s="18" t="s">
        <v>179</v>
      </c>
      <c r="CL319" s="18">
        <v>2</v>
      </c>
      <c r="CM319" s="18">
        <v>0</v>
      </c>
      <c r="CN319" s="18">
        <v>0</v>
      </c>
      <c r="CO319" s="18">
        <v>1</v>
      </c>
      <c r="CP319" s="18">
        <v>1</v>
      </c>
      <c r="CQ319" s="18">
        <v>0</v>
      </c>
      <c r="CR319" s="18">
        <v>0</v>
      </c>
      <c r="CS319" s="18" t="s">
        <v>5141</v>
      </c>
      <c r="CT319" s="18">
        <v>0</v>
      </c>
      <c r="CU319" s="18">
        <v>0</v>
      </c>
      <c r="CV319" s="18">
        <v>1</v>
      </c>
      <c r="CX319" s="18">
        <v>1</v>
      </c>
      <c r="CY319" s="18">
        <v>1</v>
      </c>
      <c r="CZ319" s="18">
        <v>1</v>
      </c>
      <c r="DA319" s="18">
        <v>1</v>
      </c>
      <c r="DB319" s="18">
        <v>0</v>
      </c>
      <c r="DC319" s="18">
        <v>0</v>
      </c>
      <c r="DD319" s="18">
        <v>1</v>
      </c>
      <c r="DE319" s="18">
        <v>1</v>
      </c>
      <c r="DF319" s="18">
        <v>0</v>
      </c>
      <c r="DG319" s="18">
        <v>1</v>
      </c>
      <c r="DH319" s="18">
        <v>1</v>
      </c>
      <c r="DI319" s="18">
        <v>1</v>
      </c>
      <c r="DK319" s="18">
        <v>0</v>
      </c>
      <c r="DL319" s="18">
        <v>1</v>
      </c>
      <c r="DM319" s="18" t="s">
        <v>5127</v>
      </c>
      <c r="DN319" s="18" t="s">
        <v>5258</v>
      </c>
      <c r="DO319" s="18" t="s">
        <v>5315</v>
      </c>
      <c r="DP319" s="18" t="s">
        <v>113</v>
      </c>
      <c r="DS319" s="18">
        <v>0</v>
      </c>
      <c r="DT319" s="18">
        <v>0</v>
      </c>
      <c r="DU319" s="18">
        <v>1</v>
      </c>
      <c r="DV319" s="18" t="s">
        <v>5403</v>
      </c>
      <c r="DX319" s="18" t="s">
        <v>5201</v>
      </c>
      <c r="DY319" s="18" t="s">
        <v>106</v>
      </c>
      <c r="DZ319" s="18" t="s">
        <v>113</v>
      </c>
      <c r="EA319" s="18" t="s">
        <v>5325</v>
      </c>
      <c r="EB319" s="18">
        <v>0</v>
      </c>
      <c r="EC319" s="18" t="s">
        <v>106</v>
      </c>
      <c r="ED319" s="18" t="s">
        <v>5147</v>
      </c>
      <c r="EG319" s="18" t="s">
        <v>5326</v>
      </c>
      <c r="EH319" s="18" t="s">
        <v>5203</v>
      </c>
      <c r="EI319" s="18" t="s">
        <v>5204</v>
      </c>
      <c r="EJ319" s="18" t="s">
        <v>5675</v>
      </c>
      <c r="EN319" s="18" t="s">
        <v>113</v>
      </c>
      <c r="ET319" s="18" t="s">
        <v>5154</v>
      </c>
      <c r="EX319" s="18" t="s">
        <v>5158</v>
      </c>
      <c r="EY319" s="18" t="s">
        <v>5229</v>
      </c>
      <c r="EZ319" s="18" t="s">
        <v>5160</v>
      </c>
      <c r="FA319" s="18" t="s">
        <v>144</v>
      </c>
      <c r="FB319" s="18" t="s">
        <v>5161</v>
      </c>
    </row>
    <row r="320" spans="1:158" ht="10.5" customHeight="1" x14ac:dyDescent="0.2">
      <c r="A320" s="16">
        <v>41</v>
      </c>
      <c r="B320" s="16" t="s">
        <v>2973</v>
      </c>
      <c r="C320" s="16" t="s">
        <v>2972</v>
      </c>
      <c r="D320" s="16">
        <v>18908</v>
      </c>
      <c r="E320" s="16" t="s">
        <v>6658</v>
      </c>
      <c r="F320" s="18" t="s">
        <v>2972</v>
      </c>
      <c r="G320" s="18" t="s">
        <v>106</v>
      </c>
      <c r="H320" s="15" t="s">
        <v>5127</v>
      </c>
      <c r="I320" s="18">
        <v>9</v>
      </c>
      <c r="J320" s="18">
        <v>1</v>
      </c>
      <c r="K320" s="18">
        <v>8</v>
      </c>
      <c r="L320" s="18">
        <v>2</v>
      </c>
      <c r="M320" s="18" t="s">
        <v>5183</v>
      </c>
      <c r="N320" s="18" t="s">
        <v>157</v>
      </c>
      <c r="T320" s="18" t="s">
        <v>5122</v>
      </c>
      <c r="U320" s="18" t="s">
        <v>5185</v>
      </c>
      <c r="V320" s="18" t="s">
        <v>106</v>
      </c>
      <c r="W320" s="18" t="s">
        <v>5124</v>
      </c>
      <c r="Y320" s="18" t="s">
        <v>6234</v>
      </c>
      <c r="Z320" s="18" t="s">
        <v>106</v>
      </c>
      <c r="AA320" s="18" t="s">
        <v>5163</v>
      </c>
      <c r="AB320" s="18" t="s">
        <v>179</v>
      </c>
      <c r="AC320" s="18" t="s">
        <v>111</v>
      </c>
      <c r="AD320" s="18" t="s">
        <v>5127</v>
      </c>
      <c r="AE320" s="18" t="s">
        <v>5127</v>
      </c>
      <c r="AF320" s="18" t="s">
        <v>111</v>
      </c>
      <c r="AG320" s="18" t="s">
        <v>5127</v>
      </c>
      <c r="AH320" s="18" t="s">
        <v>5127</v>
      </c>
      <c r="AI320" s="18">
        <v>0</v>
      </c>
      <c r="AK320" s="18" t="s">
        <v>5128</v>
      </c>
      <c r="AN320" s="18">
        <v>324</v>
      </c>
      <c r="AO320" s="18" t="s">
        <v>5129</v>
      </c>
      <c r="AP320" s="18" t="s">
        <v>6235</v>
      </c>
      <c r="AQ320" s="18" t="s">
        <v>5252</v>
      </c>
      <c r="AR320" s="18" t="s">
        <v>179</v>
      </c>
      <c r="AT320" s="17">
        <f>(365*D320*0.7)/1000</f>
        <v>4830.9939999999997</v>
      </c>
      <c r="AU320" s="17">
        <f t="shared" si="12"/>
        <v>30</v>
      </c>
      <c r="AV320" s="18">
        <v>30</v>
      </c>
      <c r="AW320" s="18">
        <v>0</v>
      </c>
      <c r="AY320" s="18" t="s">
        <v>5334</v>
      </c>
      <c r="AZ320" s="18">
        <v>0</v>
      </c>
      <c r="BA320" s="18">
        <v>0</v>
      </c>
      <c r="BB320" s="18">
        <v>0</v>
      </c>
      <c r="BD320" s="18">
        <f>6000/1000</f>
        <v>6</v>
      </c>
      <c r="BE320" s="18">
        <v>0</v>
      </c>
      <c r="BG320" s="18" t="s">
        <v>5190</v>
      </c>
      <c r="BH320" s="18">
        <v>0</v>
      </c>
      <c r="BI320" s="18">
        <v>0</v>
      </c>
      <c r="BJ320" s="18">
        <v>0</v>
      </c>
      <c r="BQ320" s="18">
        <v>120</v>
      </c>
      <c r="BR320" s="18">
        <v>66</v>
      </c>
      <c r="BS320" s="18">
        <v>51</v>
      </c>
      <c r="BT320" s="18">
        <v>33</v>
      </c>
      <c r="BU320" s="18">
        <v>0</v>
      </c>
      <c r="BV320" s="18">
        <f t="shared" si="16"/>
        <v>270</v>
      </c>
      <c r="BW320" s="15">
        <f t="shared" si="13"/>
        <v>270</v>
      </c>
      <c r="BY320" s="18" t="s">
        <v>6080</v>
      </c>
      <c r="BZ320" s="18" t="s">
        <v>193</v>
      </c>
      <c r="CD320" s="18" t="s">
        <v>5127</v>
      </c>
      <c r="CE320" s="18" t="s">
        <v>111</v>
      </c>
      <c r="CF320" s="18" t="s">
        <v>5282</v>
      </c>
      <c r="CG320" s="18" t="s">
        <v>5562</v>
      </c>
      <c r="CH320" s="18" t="s">
        <v>5137</v>
      </c>
      <c r="CI320" s="18" t="s">
        <v>5138</v>
      </c>
      <c r="CJ320" s="18" t="s">
        <v>5196</v>
      </c>
      <c r="CK320" s="18" t="s">
        <v>5197</v>
      </c>
      <c r="CL320" s="18">
        <v>4</v>
      </c>
      <c r="CM320" s="18">
        <v>0</v>
      </c>
      <c r="CN320" s="18">
        <v>0</v>
      </c>
      <c r="CO320" s="18">
        <v>2</v>
      </c>
      <c r="CP320" s="18">
        <v>1</v>
      </c>
      <c r="CQ320" s="18">
        <v>1</v>
      </c>
      <c r="CR320" s="18">
        <v>0</v>
      </c>
      <c r="CS320" s="18" t="s">
        <v>5141</v>
      </c>
      <c r="CT320" s="18">
        <v>0</v>
      </c>
      <c r="CU320" s="18">
        <v>1</v>
      </c>
      <c r="CV320" s="18">
        <v>1</v>
      </c>
      <c r="CX320" s="18">
        <v>0</v>
      </c>
      <c r="CY320" s="18">
        <v>1</v>
      </c>
      <c r="CZ320" s="18">
        <v>0</v>
      </c>
      <c r="DA320" s="18">
        <v>1</v>
      </c>
      <c r="DB320" s="18">
        <v>1</v>
      </c>
      <c r="DC320" s="18">
        <v>1</v>
      </c>
      <c r="DD320" s="18">
        <v>1</v>
      </c>
      <c r="DE320" s="18">
        <v>0</v>
      </c>
      <c r="DF320" s="18">
        <v>0</v>
      </c>
      <c r="DG320" s="18">
        <v>0</v>
      </c>
      <c r="DH320" s="18">
        <v>1</v>
      </c>
      <c r="DI320" s="18">
        <v>0</v>
      </c>
      <c r="DK320" s="18">
        <v>0</v>
      </c>
      <c r="DL320" s="18">
        <v>0</v>
      </c>
      <c r="DM320" s="18" t="s">
        <v>5127</v>
      </c>
      <c r="DN320" s="18" t="s">
        <v>5944</v>
      </c>
      <c r="DO320" s="18" t="s">
        <v>5259</v>
      </c>
      <c r="DP320" s="18" t="s">
        <v>113</v>
      </c>
      <c r="DQ320" s="18" t="s">
        <v>179</v>
      </c>
      <c r="DS320" s="18">
        <v>0</v>
      </c>
      <c r="DT320" s="18">
        <v>1</v>
      </c>
      <c r="DU320" s="18">
        <v>1</v>
      </c>
      <c r="DV320" s="18" t="s">
        <v>5260</v>
      </c>
      <c r="DX320" s="18" t="s">
        <v>5222</v>
      </c>
      <c r="DY320" s="18" t="s">
        <v>106</v>
      </c>
      <c r="DZ320" s="18" t="s">
        <v>113</v>
      </c>
      <c r="EA320" s="18" t="s">
        <v>5453</v>
      </c>
      <c r="EB320" s="18">
        <v>324</v>
      </c>
      <c r="EC320" s="18" t="s">
        <v>113</v>
      </c>
      <c r="ED320" s="18" t="s">
        <v>5147</v>
      </c>
      <c r="EE320" s="18" t="s">
        <v>106</v>
      </c>
      <c r="EF320" s="18" t="s">
        <v>106</v>
      </c>
      <c r="EG320" s="18" t="s">
        <v>5326</v>
      </c>
      <c r="EH320" s="18" t="s">
        <v>5203</v>
      </c>
      <c r="EI320" s="18" t="s">
        <v>5204</v>
      </c>
      <c r="EJ320" s="18" t="s">
        <v>5343</v>
      </c>
      <c r="EK320" s="18" t="s">
        <v>113</v>
      </c>
      <c r="EN320" s="18" t="s">
        <v>113</v>
      </c>
      <c r="EO320" s="18" t="s">
        <v>113</v>
      </c>
      <c r="EP320" s="18" t="s">
        <v>113</v>
      </c>
      <c r="EQ320" s="18" t="s">
        <v>113</v>
      </c>
      <c r="ER320" s="18" t="s">
        <v>5206</v>
      </c>
      <c r="ES320" s="18" t="s">
        <v>5153</v>
      </c>
      <c r="ET320" s="18" t="s">
        <v>5154</v>
      </c>
      <c r="EU320" s="18" t="s">
        <v>5155</v>
      </c>
      <c r="EV320" s="18" t="s">
        <v>5305</v>
      </c>
      <c r="EW320" s="18" t="s">
        <v>5669</v>
      </c>
      <c r="EX320" s="18" t="s">
        <v>5158</v>
      </c>
      <c r="EY320" s="18" t="s">
        <v>5229</v>
      </c>
      <c r="EZ320" s="18" t="s">
        <v>5160</v>
      </c>
      <c r="FA320" s="18" t="s">
        <v>144</v>
      </c>
      <c r="FB320" s="18" t="s">
        <v>5161</v>
      </c>
    </row>
    <row r="321" spans="1:158" ht="10.5" customHeight="1" x14ac:dyDescent="0.2">
      <c r="A321" s="16">
        <v>41</v>
      </c>
      <c r="B321" s="16" t="s">
        <v>2986</v>
      </c>
      <c r="C321" s="16" t="s">
        <v>2985</v>
      </c>
      <c r="D321" s="16">
        <v>4045</v>
      </c>
      <c r="E321" s="16" t="s">
        <v>6656</v>
      </c>
      <c r="F321" s="18" t="s">
        <v>2985</v>
      </c>
      <c r="G321" s="18" t="s">
        <v>106</v>
      </c>
      <c r="H321" s="15" t="s">
        <v>5127</v>
      </c>
      <c r="I321" s="18" t="s">
        <v>2993</v>
      </c>
      <c r="J321" s="18">
        <v>5</v>
      </c>
      <c r="K321" s="18">
        <v>4</v>
      </c>
      <c r="L321" s="18" t="s">
        <v>220</v>
      </c>
      <c r="M321" s="18" t="s">
        <v>5183</v>
      </c>
      <c r="N321" s="18" t="s">
        <v>6236</v>
      </c>
      <c r="O321" s="18">
        <v>47563</v>
      </c>
      <c r="T321" s="18" t="s">
        <v>111</v>
      </c>
      <c r="U321" s="18" t="s">
        <v>5123</v>
      </c>
      <c r="V321" s="18" t="s">
        <v>106</v>
      </c>
      <c r="W321" s="18" t="s">
        <v>5124</v>
      </c>
      <c r="Y321" s="18" t="s">
        <v>5942</v>
      </c>
      <c r="Z321" s="18" t="s">
        <v>106</v>
      </c>
      <c r="AA321" s="18" t="s">
        <v>5163</v>
      </c>
      <c r="AB321" s="18" t="s">
        <v>5213</v>
      </c>
      <c r="AC321" s="18" t="s">
        <v>5127</v>
      </c>
      <c r="AD321" s="18" t="s">
        <v>5127</v>
      </c>
      <c r="AE321" s="18" t="s">
        <v>5127</v>
      </c>
      <c r="AF321" s="18" t="s">
        <v>111</v>
      </c>
      <c r="AG321" s="18" t="s">
        <v>5127</v>
      </c>
      <c r="AH321" s="18" t="s">
        <v>111</v>
      </c>
      <c r="AI321" s="18">
        <v>1</v>
      </c>
      <c r="AK321" s="18" t="s">
        <v>5128</v>
      </c>
      <c r="AN321" s="18">
        <v>700</v>
      </c>
      <c r="AO321" s="18" t="s">
        <v>5186</v>
      </c>
      <c r="AP321" s="18" t="s">
        <v>6237</v>
      </c>
      <c r="AQ321" s="18" t="s">
        <v>5252</v>
      </c>
      <c r="AR321" s="18" t="s">
        <v>5132</v>
      </c>
      <c r="AT321" s="17">
        <f>(365*D321*0.7)/1000</f>
        <v>1033.4974999999999</v>
      </c>
      <c r="AU321" s="17">
        <f t="shared" si="12"/>
        <v>140</v>
      </c>
      <c r="AV321" s="18">
        <v>140</v>
      </c>
      <c r="AW321" s="18" t="s">
        <v>220</v>
      </c>
      <c r="AY321" s="18" t="s">
        <v>6238</v>
      </c>
      <c r="AZ321" s="18">
        <v>0</v>
      </c>
      <c r="BA321" s="18">
        <v>0</v>
      </c>
      <c r="BB321" s="18">
        <v>300</v>
      </c>
      <c r="BD321" s="18">
        <v>0</v>
      </c>
      <c r="BE321" s="18">
        <v>80</v>
      </c>
      <c r="BG321" s="18" t="s">
        <v>5663</v>
      </c>
      <c r="BH321" s="18">
        <v>0</v>
      </c>
      <c r="BI321" s="18">
        <v>0</v>
      </c>
      <c r="BJ321" s="18">
        <v>0</v>
      </c>
      <c r="BQ321" s="18">
        <v>12</v>
      </c>
      <c r="BR321" s="18">
        <f>5000/1000</f>
        <v>5</v>
      </c>
      <c r="BS321" s="18">
        <v>2</v>
      </c>
      <c r="BT321" s="18">
        <v>60</v>
      </c>
      <c r="BU321" s="18">
        <v>40</v>
      </c>
      <c r="BV321" s="18">
        <f t="shared" si="16"/>
        <v>119</v>
      </c>
      <c r="BW321" s="15">
        <f t="shared" si="13"/>
        <v>119</v>
      </c>
      <c r="BY321" s="18" t="s">
        <v>5134</v>
      </c>
      <c r="BZ321" s="18" t="s">
        <v>5712</v>
      </c>
      <c r="CD321" s="18" t="s">
        <v>5127</v>
      </c>
      <c r="CE321" s="18" t="s">
        <v>111</v>
      </c>
      <c r="CF321" s="18" t="s">
        <v>5135</v>
      </c>
      <c r="CG321" s="18" t="s">
        <v>5193</v>
      </c>
      <c r="CH321" s="18" t="s">
        <v>5241</v>
      </c>
      <c r="CI321" s="18" t="s">
        <v>5195</v>
      </c>
      <c r="CJ321" s="18" t="s">
        <v>5196</v>
      </c>
      <c r="CK321" s="18" t="s">
        <v>6239</v>
      </c>
      <c r="CL321" s="18" t="s">
        <v>5887</v>
      </c>
      <c r="CM321" s="18">
        <v>1</v>
      </c>
      <c r="CN321" s="18">
        <v>0</v>
      </c>
      <c r="CO321" s="18">
        <v>1</v>
      </c>
      <c r="CP321" s="18">
        <v>0</v>
      </c>
      <c r="CQ321" s="18">
        <v>0</v>
      </c>
      <c r="CR321" s="18">
        <v>0</v>
      </c>
      <c r="CS321" s="18">
        <v>0</v>
      </c>
      <c r="CT321" s="18">
        <v>1</v>
      </c>
      <c r="CU321" s="18">
        <v>0</v>
      </c>
      <c r="CV321" s="18">
        <v>0</v>
      </c>
      <c r="CX321" s="18">
        <v>1</v>
      </c>
      <c r="CY321" s="18">
        <v>2</v>
      </c>
      <c r="CZ321" s="18">
        <v>1</v>
      </c>
      <c r="DA321" s="18">
        <v>1</v>
      </c>
      <c r="DB321" s="18">
        <v>2</v>
      </c>
      <c r="DC321" s="18">
        <v>1</v>
      </c>
      <c r="DD321" s="18">
        <v>2</v>
      </c>
      <c r="DE321" s="18">
        <v>2</v>
      </c>
      <c r="DF321" s="18">
        <v>3</v>
      </c>
      <c r="DG321" s="18">
        <v>1</v>
      </c>
      <c r="DH321" s="18">
        <v>2</v>
      </c>
      <c r="DI321" s="18">
        <v>3</v>
      </c>
      <c r="DK321" s="18">
        <v>0</v>
      </c>
      <c r="DL321" s="18">
        <v>1</v>
      </c>
      <c r="DM321" s="18" t="s">
        <v>5127</v>
      </c>
      <c r="DN321" s="18" t="s">
        <v>5172</v>
      </c>
      <c r="DO321" s="18" t="s">
        <v>5259</v>
      </c>
      <c r="DP321" s="18" t="s">
        <v>106</v>
      </c>
      <c r="DQ321" s="18" t="s">
        <v>5132</v>
      </c>
      <c r="DS321" s="18" t="s">
        <v>220</v>
      </c>
      <c r="DT321" s="18">
        <v>1</v>
      </c>
      <c r="DU321" s="18">
        <v>1</v>
      </c>
      <c r="DV321" s="18" t="s">
        <v>5666</v>
      </c>
      <c r="DX321" s="18" t="s">
        <v>5222</v>
      </c>
      <c r="DY321" s="18" t="s">
        <v>106</v>
      </c>
      <c r="DZ321" s="18" t="s">
        <v>106</v>
      </c>
      <c r="EA321" s="18" t="s">
        <v>5285</v>
      </c>
      <c r="EB321" s="18">
        <v>560</v>
      </c>
      <c r="EC321" s="18" t="s">
        <v>106</v>
      </c>
      <c r="ED321" s="18" t="s">
        <v>5176</v>
      </c>
      <c r="EE321" s="18" t="s">
        <v>106</v>
      </c>
      <c r="EF321" s="18" t="s">
        <v>106</v>
      </c>
      <c r="EG321" s="18" t="s">
        <v>5326</v>
      </c>
      <c r="EH321" s="18" t="s">
        <v>5203</v>
      </c>
      <c r="EI321" s="18" t="s">
        <v>5204</v>
      </c>
      <c r="EJ321" s="18" t="s">
        <v>5245</v>
      </c>
      <c r="EK321" s="18" t="s">
        <v>113</v>
      </c>
      <c r="EL321" s="18" t="s">
        <v>6240</v>
      </c>
      <c r="EM321" s="18" t="s">
        <v>5227</v>
      </c>
      <c r="EN321" s="18" t="s">
        <v>113</v>
      </c>
      <c r="EO321" s="18" t="s">
        <v>113</v>
      </c>
      <c r="EP321" s="18" t="s">
        <v>113</v>
      </c>
      <c r="EQ321" s="18" t="s">
        <v>113</v>
      </c>
      <c r="ER321" s="18" t="s">
        <v>5155</v>
      </c>
      <c r="ES321" s="18" t="s">
        <v>5447</v>
      </c>
      <c r="ET321" s="18" t="s">
        <v>5154</v>
      </c>
      <c r="EU321" s="18" t="s">
        <v>5318</v>
      </c>
      <c r="EV321" s="18" t="s">
        <v>6241</v>
      </c>
      <c r="EW321" s="18" t="s">
        <v>5380</v>
      </c>
      <c r="EX321" s="18" t="s">
        <v>5158</v>
      </c>
      <c r="EY321" s="18" t="s">
        <v>5229</v>
      </c>
      <c r="EZ321" s="18" t="s">
        <v>5160</v>
      </c>
      <c r="FA321" s="18" t="s">
        <v>144</v>
      </c>
      <c r="FB321" s="18" t="s">
        <v>5161</v>
      </c>
    </row>
    <row r="322" spans="1:158" ht="10.5" customHeight="1" x14ac:dyDescent="0.2">
      <c r="A322" s="16">
        <v>41</v>
      </c>
      <c r="B322" s="16" t="s">
        <v>2997</v>
      </c>
      <c r="C322" s="16" t="s">
        <v>2996</v>
      </c>
      <c r="D322" s="16">
        <v>3685</v>
      </c>
      <c r="E322" s="16" t="s">
        <v>6656</v>
      </c>
      <c r="F322" s="18" t="s">
        <v>2996</v>
      </c>
      <c r="G322" s="18" t="s">
        <v>113</v>
      </c>
      <c r="H322" s="15" t="s">
        <v>111</v>
      </c>
      <c r="AT322" s="17">
        <f>(365*D322*0.7)/1000</f>
        <v>941.51749999999993</v>
      </c>
      <c r="AU322" s="17">
        <f t="shared" si="12"/>
        <v>0</v>
      </c>
      <c r="BW322" s="15">
        <f t="shared" si="13"/>
        <v>0</v>
      </c>
    </row>
    <row r="323" spans="1:158" ht="10.5" customHeight="1" x14ac:dyDescent="0.2">
      <c r="A323" s="16">
        <v>41</v>
      </c>
      <c r="B323" s="16" t="s">
        <v>3007</v>
      </c>
      <c r="C323" s="16" t="s">
        <v>3006</v>
      </c>
      <c r="D323" s="16">
        <v>1327</v>
      </c>
      <c r="E323" s="16" t="s">
        <v>6656</v>
      </c>
      <c r="F323" s="18" t="s">
        <v>3006</v>
      </c>
      <c r="G323" s="18" t="s">
        <v>106</v>
      </c>
      <c r="H323" s="15" t="s">
        <v>5127</v>
      </c>
      <c r="I323" s="18">
        <v>9</v>
      </c>
      <c r="J323" s="18">
        <v>5</v>
      </c>
      <c r="K323" s="18">
        <v>4</v>
      </c>
      <c r="M323" s="18" t="s">
        <v>5121</v>
      </c>
      <c r="N323" s="18" t="s">
        <v>6242</v>
      </c>
      <c r="O323" s="18">
        <v>48718</v>
      </c>
      <c r="T323" s="18" t="s">
        <v>111</v>
      </c>
      <c r="U323" s="18" t="s">
        <v>5250</v>
      </c>
      <c r="V323" s="18" t="s">
        <v>106</v>
      </c>
      <c r="W323" s="18" t="s">
        <v>5124</v>
      </c>
      <c r="Y323" s="18" t="s">
        <v>5232</v>
      </c>
      <c r="Z323" s="18" t="s">
        <v>113</v>
      </c>
      <c r="AA323" s="18" t="s">
        <v>5267</v>
      </c>
      <c r="AB323" s="18" t="s">
        <v>179</v>
      </c>
      <c r="AC323" s="18" t="s">
        <v>111</v>
      </c>
      <c r="AD323" s="18" t="s">
        <v>5127</v>
      </c>
      <c r="AE323" s="18" t="s">
        <v>111</v>
      </c>
      <c r="AF323" s="18" t="s">
        <v>111</v>
      </c>
      <c r="AG323" s="18" t="s">
        <v>111</v>
      </c>
      <c r="AH323" s="18" t="s">
        <v>5127</v>
      </c>
      <c r="AI323" s="18">
        <v>1</v>
      </c>
      <c r="AK323" s="18" t="s">
        <v>5164</v>
      </c>
      <c r="AN323" s="18">
        <v>100</v>
      </c>
      <c r="AO323" s="18" t="s">
        <v>5165</v>
      </c>
      <c r="AP323" s="18" t="s">
        <v>6243</v>
      </c>
      <c r="AQ323" s="18" t="s">
        <v>5252</v>
      </c>
      <c r="AR323" s="18" t="s">
        <v>5168</v>
      </c>
      <c r="AT323" s="17">
        <f>(365*D323*0.7)/1000</f>
        <v>339.04849999999999</v>
      </c>
      <c r="AU323" s="17">
        <f t="shared" ref="AU323:AU386" si="17">SUM(AV323:AX323)</f>
        <v>12</v>
      </c>
      <c r="AV323" s="18">
        <v>12</v>
      </c>
      <c r="AW323" s="18">
        <v>0</v>
      </c>
      <c r="AY323" s="18" t="s">
        <v>164</v>
      </c>
      <c r="AZ323" s="18">
        <f>5/1000</f>
        <v>5.0000000000000001E-3</v>
      </c>
      <c r="BD323" s="18">
        <f>20/1000</f>
        <v>0.02</v>
      </c>
      <c r="BG323" s="18" t="s">
        <v>5169</v>
      </c>
      <c r="BH323" s="18">
        <v>15</v>
      </c>
      <c r="BI323" s="18">
        <v>10</v>
      </c>
      <c r="BJ323" s="18">
        <v>2</v>
      </c>
      <c r="BQ323" s="18">
        <v>100</v>
      </c>
      <c r="BR323" s="18">
        <v>80</v>
      </c>
      <c r="BS323" s="18">
        <v>25</v>
      </c>
      <c r="BT323" s="18">
        <v>80</v>
      </c>
      <c r="BU323" s="18">
        <v>100</v>
      </c>
      <c r="BV323" s="18">
        <f>SUM(BQ323:BU323)</f>
        <v>385</v>
      </c>
      <c r="BW323" s="15">
        <f t="shared" si="13"/>
        <v>385</v>
      </c>
      <c r="BY323" s="18" t="s">
        <v>5134</v>
      </c>
      <c r="BZ323" s="18" t="s">
        <v>5312</v>
      </c>
      <c r="CD323" s="18" t="s">
        <v>5127</v>
      </c>
      <c r="CE323" s="18" t="s">
        <v>111</v>
      </c>
      <c r="CF323" s="18" t="s">
        <v>5135</v>
      </c>
      <c r="CG323" s="18" t="s">
        <v>6244</v>
      </c>
      <c r="CH323" s="18" t="s">
        <v>111</v>
      </c>
      <c r="CI323" s="18" t="s">
        <v>5138</v>
      </c>
      <c r="CJ323" s="18" t="s">
        <v>5196</v>
      </c>
      <c r="CK323" s="18" t="s">
        <v>5776</v>
      </c>
      <c r="CL323" s="18">
        <v>1</v>
      </c>
      <c r="CM323" s="18">
        <v>0</v>
      </c>
      <c r="CN323" s="18">
        <v>0</v>
      </c>
      <c r="CO323" s="18">
        <v>0</v>
      </c>
      <c r="CP323" s="18">
        <v>2</v>
      </c>
      <c r="CQ323" s="18">
        <v>0</v>
      </c>
      <c r="CR323" s="18">
        <v>0</v>
      </c>
      <c r="CS323" s="18" t="s">
        <v>5141</v>
      </c>
      <c r="CT323" s="18">
        <v>0</v>
      </c>
      <c r="CU323" s="18">
        <v>0</v>
      </c>
      <c r="CV323" s="18">
        <v>0</v>
      </c>
      <c r="CX323" s="18">
        <v>1</v>
      </c>
      <c r="CY323" s="18">
        <v>1</v>
      </c>
      <c r="CZ323" s="18">
        <v>1</v>
      </c>
      <c r="DA323" s="18">
        <v>1</v>
      </c>
      <c r="DB323" s="18">
        <v>1</v>
      </c>
      <c r="DC323" s="18">
        <v>1</v>
      </c>
      <c r="DD323" s="18">
        <v>1</v>
      </c>
      <c r="DE323" s="18" t="s">
        <v>5141</v>
      </c>
      <c r="DF323" s="18" t="s">
        <v>5141</v>
      </c>
      <c r="DG323" s="18">
        <v>1</v>
      </c>
      <c r="DH323" s="18" t="s">
        <v>5141</v>
      </c>
      <c r="DI323" s="18">
        <v>1</v>
      </c>
      <c r="DK323" s="18">
        <v>1</v>
      </c>
      <c r="DL323" s="18">
        <v>1</v>
      </c>
      <c r="DM323" s="18" t="s">
        <v>5127</v>
      </c>
      <c r="DN323" s="18" t="s">
        <v>5314</v>
      </c>
      <c r="DO323" s="18" t="s">
        <v>5259</v>
      </c>
      <c r="DP323" s="18" t="s">
        <v>106</v>
      </c>
      <c r="DQ323" s="18" t="s">
        <v>179</v>
      </c>
      <c r="DS323" s="18">
        <v>0</v>
      </c>
      <c r="DT323" s="18">
        <v>0</v>
      </c>
      <c r="DU323" s="18">
        <v>1</v>
      </c>
      <c r="DV323" s="18" t="s">
        <v>6021</v>
      </c>
      <c r="DX323" s="18" t="s">
        <v>5222</v>
      </c>
      <c r="DY323" s="18" t="s">
        <v>106</v>
      </c>
      <c r="DZ323" s="18" t="s">
        <v>106</v>
      </c>
      <c r="EA323" s="18" t="s">
        <v>5285</v>
      </c>
      <c r="EB323" s="18">
        <v>100</v>
      </c>
      <c r="EC323" s="18" t="s">
        <v>106</v>
      </c>
      <c r="ED323" s="18" t="s">
        <v>5147</v>
      </c>
      <c r="EE323" s="18" t="s">
        <v>106</v>
      </c>
      <c r="EF323" s="18" t="s">
        <v>113</v>
      </c>
      <c r="EG323" s="18" t="s">
        <v>5404</v>
      </c>
      <c r="EH323" s="18" t="s">
        <v>5203</v>
      </c>
      <c r="EI323" s="18" t="s">
        <v>5204</v>
      </c>
      <c r="EJ323" s="18" t="s">
        <v>6014</v>
      </c>
      <c r="EK323" s="18" t="s">
        <v>113</v>
      </c>
      <c r="EM323" s="18" t="s">
        <v>5227</v>
      </c>
      <c r="EN323" s="18" t="s">
        <v>113</v>
      </c>
      <c r="EO323" s="18" t="s">
        <v>113</v>
      </c>
      <c r="EP323" s="18" t="s">
        <v>113</v>
      </c>
      <c r="EQ323" s="18" t="s">
        <v>106</v>
      </c>
      <c r="ER323" s="18" t="s">
        <v>5289</v>
      </c>
      <c r="ES323" s="18" t="s">
        <v>5352</v>
      </c>
      <c r="ET323" s="18" t="s">
        <v>5154</v>
      </c>
      <c r="EU323" s="18" t="s">
        <v>5155</v>
      </c>
      <c r="EV323" s="18" t="s">
        <v>6116</v>
      </c>
      <c r="EW323" s="18" t="s">
        <v>5406</v>
      </c>
      <c r="EX323" s="18" t="s">
        <v>5158</v>
      </c>
      <c r="EY323" s="18" t="s">
        <v>5248</v>
      </c>
      <c r="EZ323" s="18" t="s">
        <v>5160</v>
      </c>
      <c r="FA323" s="18" t="s">
        <v>144</v>
      </c>
      <c r="FB323" s="18" t="s">
        <v>5161</v>
      </c>
    </row>
    <row r="324" spans="1:158" ht="10.5" customHeight="1" x14ac:dyDescent="0.2">
      <c r="A324" s="16">
        <v>41</v>
      </c>
      <c r="B324" s="16" t="s">
        <v>804</v>
      </c>
      <c r="C324" s="16" t="s">
        <v>805</v>
      </c>
      <c r="D324" s="16">
        <v>3299</v>
      </c>
      <c r="E324" s="16" t="s">
        <v>6656</v>
      </c>
      <c r="H324" s="15" t="s">
        <v>6661</v>
      </c>
      <c r="AT324" s="17">
        <f>(365*D324*0.7)/1000</f>
        <v>842.89449999999999</v>
      </c>
      <c r="AU324" s="17">
        <f t="shared" si="17"/>
        <v>0</v>
      </c>
      <c r="BW324" s="15">
        <f t="shared" ref="BW324:BW387" si="18">SUM(BQ324:BU324)</f>
        <v>0</v>
      </c>
    </row>
    <row r="325" spans="1:158" ht="10.5" customHeight="1" x14ac:dyDescent="0.2">
      <c r="A325" s="16">
        <v>41</v>
      </c>
      <c r="B325" s="16" t="s">
        <v>3024</v>
      </c>
      <c r="C325" s="16" t="s">
        <v>372</v>
      </c>
      <c r="D325" s="16">
        <v>14219</v>
      </c>
      <c r="E325" s="16" t="s">
        <v>6656</v>
      </c>
      <c r="F325" s="18" t="s">
        <v>372</v>
      </c>
      <c r="G325" s="18" t="s">
        <v>106</v>
      </c>
      <c r="H325" s="15" t="s">
        <v>5127</v>
      </c>
      <c r="I325" s="18">
        <v>11</v>
      </c>
      <c r="J325" s="18">
        <v>10</v>
      </c>
      <c r="K325" s="18">
        <v>1</v>
      </c>
      <c r="L325" s="18">
        <v>0</v>
      </c>
      <c r="M325" s="18" t="s">
        <v>5230</v>
      </c>
      <c r="N325" s="18" t="s">
        <v>6245</v>
      </c>
      <c r="O325" s="18">
        <v>45869</v>
      </c>
      <c r="T325" s="18" t="s">
        <v>5382</v>
      </c>
      <c r="U325" s="18" t="s">
        <v>5123</v>
      </c>
      <c r="V325" s="18" t="s">
        <v>106</v>
      </c>
      <c r="W325" s="18" t="s">
        <v>5124</v>
      </c>
      <c r="Y325" s="18" t="s">
        <v>5162</v>
      </c>
      <c r="Z325" s="18" t="s">
        <v>106</v>
      </c>
      <c r="AA325" s="18" t="s">
        <v>5163</v>
      </c>
      <c r="AB325" s="18" t="s">
        <v>179</v>
      </c>
      <c r="AC325" s="18" t="s">
        <v>5127</v>
      </c>
      <c r="AD325" s="18" t="s">
        <v>5127</v>
      </c>
      <c r="AE325" s="18" t="s">
        <v>111</v>
      </c>
      <c r="AF325" s="18" t="s">
        <v>111</v>
      </c>
      <c r="AG325" s="18" t="s">
        <v>5127</v>
      </c>
      <c r="AH325" s="18" t="s">
        <v>5127</v>
      </c>
      <c r="AI325" s="18">
        <v>1</v>
      </c>
      <c r="AK325" s="18" t="s">
        <v>5164</v>
      </c>
      <c r="AN325" s="18">
        <v>588</v>
      </c>
      <c r="AO325" s="18" t="s">
        <v>5186</v>
      </c>
      <c r="AP325" s="18" t="s">
        <v>6246</v>
      </c>
      <c r="AQ325" s="18" t="s">
        <v>6247</v>
      </c>
      <c r="AR325" s="18" t="s">
        <v>5132</v>
      </c>
      <c r="AT325" s="17">
        <f>(365*D325*0.7)/1000</f>
        <v>3632.9544999999998</v>
      </c>
      <c r="AU325" s="17">
        <f t="shared" si="17"/>
        <v>132</v>
      </c>
      <c r="AV325" s="18">
        <v>132</v>
      </c>
      <c r="AW325" s="18">
        <v>0</v>
      </c>
      <c r="AY325" s="18" t="s">
        <v>5915</v>
      </c>
      <c r="AZ325" s="18">
        <f>100/1000</f>
        <v>0.1</v>
      </c>
      <c r="BA325" s="18">
        <v>0</v>
      </c>
      <c r="BB325" s="18">
        <v>500</v>
      </c>
      <c r="BD325" s="18">
        <f>10500/1000</f>
        <v>10.5</v>
      </c>
      <c r="BE325" s="18">
        <v>0</v>
      </c>
      <c r="BG325" s="18" t="s">
        <v>5281</v>
      </c>
      <c r="BH325" s="18">
        <v>0</v>
      </c>
      <c r="BI325" s="18">
        <v>0</v>
      </c>
      <c r="BJ325" s="18">
        <v>0</v>
      </c>
      <c r="BQ325" s="18">
        <v>150</v>
      </c>
      <c r="BR325" s="18">
        <v>90</v>
      </c>
      <c r="BS325" s="18">
        <v>98</v>
      </c>
      <c r="BT325" s="18">
        <v>59</v>
      </c>
      <c r="BU325" s="18">
        <v>53</v>
      </c>
      <c r="BV325" s="18">
        <f>SUM(BQ325:BU325)</f>
        <v>450</v>
      </c>
      <c r="BW325" s="15">
        <f t="shared" si="18"/>
        <v>450</v>
      </c>
      <c r="BY325" s="18" t="s">
        <v>6248</v>
      </c>
      <c r="BZ325" s="18" t="s">
        <v>6249</v>
      </c>
      <c r="CD325" s="18" t="s">
        <v>5127</v>
      </c>
      <c r="CE325" s="18" t="s">
        <v>111</v>
      </c>
      <c r="CF325" s="18" t="s">
        <v>5282</v>
      </c>
      <c r="CG325" s="18" t="s">
        <v>6250</v>
      </c>
      <c r="CH325" s="18" t="s">
        <v>5556</v>
      </c>
      <c r="CI325" s="18" t="s">
        <v>5138</v>
      </c>
      <c r="CJ325" s="18" t="s">
        <v>5636</v>
      </c>
      <c r="CK325" s="18" t="s">
        <v>5197</v>
      </c>
      <c r="CL325" s="18">
        <v>3</v>
      </c>
      <c r="CM325" s="18">
        <v>0</v>
      </c>
      <c r="CN325" s="18">
        <v>0</v>
      </c>
      <c r="CO325" s="18">
        <v>2</v>
      </c>
      <c r="CP325" s="18">
        <v>0</v>
      </c>
      <c r="CQ325" s="18">
        <v>1</v>
      </c>
      <c r="CR325" s="18">
        <v>0</v>
      </c>
      <c r="CS325" s="18" t="s">
        <v>5141</v>
      </c>
      <c r="CT325" s="18">
        <v>1</v>
      </c>
      <c r="CU325" s="18">
        <v>0</v>
      </c>
      <c r="CV325" s="18">
        <v>0</v>
      </c>
      <c r="CX325" s="18">
        <v>1</v>
      </c>
      <c r="CY325" s="18">
        <v>1</v>
      </c>
      <c r="CZ325" s="18">
        <v>1</v>
      </c>
      <c r="DA325" s="18">
        <v>1</v>
      </c>
      <c r="DB325" s="18">
        <v>1</v>
      </c>
      <c r="DC325" s="18">
        <v>1</v>
      </c>
      <c r="DD325" s="18">
        <v>0</v>
      </c>
      <c r="DE325" s="18" t="s">
        <v>5141</v>
      </c>
      <c r="DF325" s="18" t="s">
        <v>5141</v>
      </c>
      <c r="DG325" s="18">
        <v>1</v>
      </c>
      <c r="DH325" s="18">
        <v>1</v>
      </c>
      <c r="DI325" s="18">
        <v>1</v>
      </c>
      <c r="DK325" s="18">
        <v>0</v>
      </c>
      <c r="DL325" s="18">
        <v>1</v>
      </c>
      <c r="DM325" s="18" t="s">
        <v>5127</v>
      </c>
      <c r="DN325" s="18" t="s">
        <v>5258</v>
      </c>
      <c r="DO325" s="18" t="s">
        <v>6251</v>
      </c>
      <c r="DP325" s="18" t="s">
        <v>113</v>
      </c>
      <c r="DQ325" s="18" t="s">
        <v>5132</v>
      </c>
      <c r="DS325" s="18">
        <v>132</v>
      </c>
      <c r="DT325" s="18">
        <v>1</v>
      </c>
      <c r="DU325" s="18">
        <v>1</v>
      </c>
      <c r="DV325" s="18" t="s">
        <v>5144</v>
      </c>
      <c r="DX325" s="18" t="s">
        <v>5222</v>
      </c>
      <c r="DY325" s="18" t="s">
        <v>106</v>
      </c>
      <c r="DZ325" s="18" t="s">
        <v>106</v>
      </c>
      <c r="EA325" s="18" t="s">
        <v>5202</v>
      </c>
      <c r="EB325" s="18">
        <v>456</v>
      </c>
      <c r="EC325" s="18" t="s">
        <v>113</v>
      </c>
      <c r="ED325" s="18" t="s">
        <v>5176</v>
      </c>
      <c r="EE325" s="18" t="s">
        <v>106</v>
      </c>
      <c r="EF325" s="18" t="s">
        <v>113</v>
      </c>
      <c r="EG325" s="18" t="s">
        <v>6129</v>
      </c>
      <c r="EH325" s="18" t="s">
        <v>5203</v>
      </c>
      <c r="EI325" s="18" t="s">
        <v>5150</v>
      </c>
      <c r="EJ325" s="18" t="s">
        <v>5316</v>
      </c>
      <c r="EK325" s="18" t="s">
        <v>5878</v>
      </c>
      <c r="EL325" s="18" t="s">
        <v>5429</v>
      </c>
      <c r="EM325" s="18" t="s">
        <v>5227</v>
      </c>
      <c r="EN325" s="18" t="s">
        <v>113</v>
      </c>
      <c r="EO325" s="18" t="s">
        <v>113</v>
      </c>
      <c r="EP325" s="18" t="s">
        <v>106</v>
      </c>
      <c r="EQ325" s="18" t="s">
        <v>113</v>
      </c>
      <c r="ER325" s="18" t="s">
        <v>5206</v>
      </c>
      <c r="ES325" s="18" t="s">
        <v>5153</v>
      </c>
      <c r="ET325" s="18" t="s">
        <v>5154</v>
      </c>
      <c r="EU325" s="18" t="s">
        <v>5318</v>
      </c>
      <c r="EV325" s="18" t="s">
        <v>5469</v>
      </c>
      <c r="EW325" s="18" t="s">
        <v>6252</v>
      </c>
      <c r="EX325" s="18" t="s">
        <v>5158</v>
      </c>
      <c r="EY325" s="18" t="s">
        <v>5229</v>
      </c>
      <c r="EZ325" s="18" t="s">
        <v>5160</v>
      </c>
      <c r="FA325" s="18" t="s">
        <v>144</v>
      </c>
      <c r="FB325" s="18" t="s">
        <v>5161</v>
      </c>
    </row>
    <row r="326" spans="1:158" ht="10.5" customHeight="1" x14ac:dyDescent="0.2">
      <c r="A326" s="16">
        <v>41</v>
      </c>
      <c r="B326" s="16" t="s">
        <v>3041</v>
      </c>
      <c r="C326" s="16" t="s">
        <v>3040</v>
      </c>
      <c r="D326" s="16">
        <v>6799</v>
      </c>
      <c r="E326" s="16" t="s">
        <v>6656</v>
      </c>
      <c r="F326" s="18" t="s">
        <v>3040</v>
      </c>
      <c r="G326" s="18" t="s">
        <v>106</v>
      </c>
      <c r="H326" s="15" t="s">
        <v>5127</v>
      </c>
      <c r="I326" s="18">
        <v>2</v>
      </c>
      <c r="J326" s="18">
        <v>0</v>
      </c>
      <c r="K326" s="18">
        <v>2</v>
      </c>
      <c r="L326" s="18">
        <v>0</v>
      </c>
      <c r="M326" s="18" t="s">
        <v>5183</v>
      </c>
      <c r="N326" s="18" t="s">
        <v>6253</v>
      </c>
      <c r="O326" s="18">
        <v>46062</v>
      </c>
      <c r="T326" s="18" t="s">
        <v>111</v>
      </c>
      <c r="U326" s="18" t="s">
        <v>5250</v>
      </c>
      <c r="V326" s="18" t="s">
        <v>113</v>
      </c>
      <c r="W326" s="18" t="s">
        <v>113</v>
      </c>
      <c r="Y326" s="18" t="s">
        <v>5232</v>
      </c>
      <c r="Z326" s="18" t="s">
        <v>113</v>
      </c>
      <c r="AA326" s="18" t="s">
        <v>5163</v>
      </c>
      <c r="AB326" s="18" t="s">
        <v>179</v>
      </c>
      <c r="AC326" s="18" t="s">
        <v>111</v>
      </c>
      <c r="AD326" s="18" t="s">
        <v>111</v>
      </c>
      <c r="AE326" s="18" t="s">
        <v>111</v>
      </c>
      <c r="AF326" s="18" t="s">
        <v>5127</v>
      </c>
      <c r="AG326" s="18" t="s">
        <v>5127</v>
      </c>
      <c r="AH326" s="18" t="s">
        <v>111</v>
      </c>
      <c r="AI326" s="18">
        <v>1</v>
      </c>
      <c r="AK326" s="18" t="s">
        <v>5164</v>
      </c>
      <c r="AN326" s="18">
        <v>120</v>
      </c>
      <c r="AO326" s="18" t="s">
        <v>5391</v>
      </c>
      <c r="AP326" s="18" t="s">
        <v>6254</v>
      </c>
      <c r="AQ326" s="18" t="s">
        <v>164</v>
      </c>
      <c r="AR326" s="18" t="s">
        <v>5168</v>
      </c>
      <c r="AT326" s="17">
        <f>(365*D326*0.7)/1000</f>
        <v>1737.1445000000001</v>
      </c>
      <c r="AU326" s="17">
        <f t="shared" si="17"/>
        <v>2</v>
      </c>
      <c r="AV326" s="18">
        <v>2</v>
      </c>
      <c r="AW326" s="18">
        <v>0</v>
      </c>
      <c r="AY326" s="18" t="s">
        <v>5650</v>
      </c>
      <c r="BG326" s="18" t="s">
        <v>5663</v>
      </c>
      <c r="BQ326" s="18">
        <v>20</v>
      </c>
      <c r="BR326" s="18">
        <v>20</v>
      </c>
      <c r="BS326" s="18">
        <v>30</v>
      </c>
      <c r="BT326" s="18">
        <v>2</v>
      </c>
      <c r="BU326" s="18">
        <v>0</v>
      </c>
      <c r="BV326" s="18">
        <v>72</v>
      </c>
      <c r="BW326" s="15">
        <f t="shared" si="18"/>
        <v>72</v>
      </c>
      <c r="BY326" s="18" t="s">
        <v>5134</v>
      </c>
      <c r="BZ326" s="18" t="s">
        <v>5240</v>
      </c>
      <c r="CD326" s="18" t="s">
        <v>5127</v>
      </c>
      <c r="CE326" s="18" t="s">
        <v>111</v>
      </c>
      <c r="CF326" s="18" t="s">
        <v>5135</v>
      </c>
      <c r="CG326" s="18" t="s">
        <v>6255</v>
      </c>
      <c r="CH326" s="18" t="s">
        <v>111</v>
      </c>
      <c r="CI326" s="18" t="s">
        <v>111</v>
      </c>
      <c r="CJ326" s="18" t="s">
        <v>5139</v>
      </c>
      <c r="CK326" s="18" t="s">
        <v>179</v>
      </c>
      <c r="CL326" s="18">
        <v>1</v>
      </c>
      <c r="CM326" s="18">
        <v>0</v>
      </c>
      <c r="CN326" s="18">
        <v>0</v>
      </c>
      <c r="CO326" s="18">
        <v>0</v>
      </c>
      <c r="CP326" s="18">
        <v>0</v>
      </c>
      <c r="CQ326" s="18">
        <v>0</v>
      </c>
      <c r="CR326" s="18">
        <v>0</v>
      </c>
      <c r="CS326" s="18" t="s">
        <v>5141</v>
      </c>
      <c r="CT326" s="18">
        <v>0</v>
      </c>
      <c r="CU326" s="18">
        <v>0</v>
      </c>
      <c r="CV326" s="18" t="s">
        <v>5141</v>
      </c>
      <c r="CX326" s="18">
        <v>0</v>
      </c>
      <c r="CY326" s="18">
        <v>0</v>
      </c>
      <c r="CZ326" s="18">
        <v>0</v>
      </c>
      <c r="DA326" s="18">
        <v>0</v>
      </c>
      <c r="DB326" s="18">
        <v>0</v>
      </c>
      <c r="DC326" s="18">
        <v>0</v>
      </c>
      <c r="DD326" s="18">
        <v>0</v>
      </c>
      <c r="DE326" s="18">
        <v>0</v>
      </c>
      <c r="DF326" s="18">
        <v>0</v>
      </c>
      <c r="DG326" s="18">
        <v>0</v>
      </c>
      <c r="DH326" s="18">
        <v>0</v>
      </c>
      <c r="DI326" s="18">
        <v>0</v>
      </c>
      <c r="DK326" s="18">
        <v>0</v>
      </c>
      <c r="DL326" s="18">
        <v>0</v>
      </c>
      <c r="DM326" s="18" t="s">
        <v>5127</v>
      </c>
      <c r="DN326" s="18" t="s">
        <v>5172</v>
      </c>
      <c r="DO326" s="18" t="s">
        <v>5259</v>
      </c>
      <c r="DP326" s="18" t="s">
        <v>106</v>
      </c>
      <c r="DQ326" s="18" t="s">
        <v>5168</v>
      </c>
      <c r="DS326" s="18">
        <v>0</v>
      </c>
      <c r="DT326" s="18">
        <v>0</v>
      </c>
      <c r="DU326" s="18">
        <v>0</v>
      </c>
      <c r="DV326" s="18" t="s">
        <v>111</v>
      </c>
      <c r="DX326" s="18" t="s">
        <v>5145</v>
      </c>
      <c r="DY326" s="18" t="s">
        <v>106</v>
      </c>
      <c r="DZ326" s="18" t="s">
        <v>113</v>
      </c>
      <c r="EA326" s="18" t="s">
        <v>5146</v>
      </c>
      <c r="EB326" s="18">
        <v>72</v>
      </c>
      <c r="EC326" s="18" t="s">
        <v>113</v>
      </c>
      <c r="ED326" s="18" t="s">
        <v>5147</v>
      </c>
      <c r="EE326" s="18" t="s">
        <v>113</v>
      </c>
      <c r="EF326" s="18" t="s">
        <v>113</v>
      </c>
      <c r="EG326" s="18" t="s">
        <v>5148</v>
      </c>
      <c r="EH326" s="18" t="s">
        <v>5149</v>
      </c>
      <c r="EI326" s="18" t="s">
        <v>5204</v>
      </c>
      <c r="EJ326" s="18" t="s">
        <v>5811</v>
      </c>
      <c r="EK326" s="18" t="s">
        <v>113</v>
      </c>
      <c r="EL326" s="18" t="s">
        <v>5971</v>
      </c>
      <c r="EM326" s="18" t="s">
        <v>5514</v>
      </c>
      <c r="EN326" s="18" t="s">
        <v>113</v>
      </c>
      <c r="EO326" s="18" t="s">
        <v>113</v>
      </c>
      <c r="EP326" s="18" t="s">
        <v>113</v>
      </c>
      <c r="EQ326" s="18" t="s">
        <v>113</v>
      </c>
      <c r="ER326" s="18" t="s">
        <v>5155</v>
      </c>
      <c r="ES326" s="18" t="s">
        <v>5461</v>
      </c>
      <c r="ET326" s="18" t="s">
        <v>5154</v>
      </c>
      <c r="EU326" s="18" t="s">
        <v>5155</v>
      </c>
      <c r="EV326" s="18" t="s">
        <v>179</v>
      </c>
      <c r="EW326" s="18" t="s">
        <v>179</v>
      </c>
      <c r="EX326" s="18" t="s">
        <v>5158</v>
      </c>
      <c r="EY326" s="18" t="s">
        <v>5229</v>
      </c>
      <c r="EZ326" s="18" t="s">
        <v>5160</v>
      </c>
      <c r="FA326" s="18" t="s">
        <v>144</v>
      </c>
      <c r="FB326" s="18" t="s">
        <v>5161</v>
      </c>
    </row>
    <row r="327" spans="1:158" ht="10.5" customHeight="1" x14ac:dyDescent="0.2">
      <c r="A327" s="16">
        <v>41</v>
      </c>
      <c r="B327" s="16" t="s">
        <v>3055</v>
      </c>
      <c r="C327" s="16" t="s">
        <v>3054</v>
      </c>
      <c r="D327" s="16">
        <v>27142</v>
      </c>
      <c r="E327" s="16" t="s">
        <v>6658</v>
      </c>
      <c r="F327" s="18" t="s">
        <v>3054</v>
      </c>
      <c r="G327" s="18" t="s">
        <v>106</v>
      </c>
      <c r="H327" s="15" t="s">
        <v>5127</v>
      </c>
      <c r="I327" s="18">
        <v>25</v>
      </c>
      <c r="J327" s="18">
        <v>14</v>
      </c>
      <c r="K327" s="18">
        <v>11</v>
      </c>
      <c r="L327" s="18">
        <v>0</v>
      </c>
      <c r="M327" s="18" t="s">
        <v>5183</v>
      </c>
      <c r="N327" s="18" t="s">
        <v>6256</v>
      </c>
      <c r="O327" s="18">
        <v>46827</v>
      </c>
      <c r="T327" s="18" t="s">
        <v>6257</v>
      </c>
      <c r="U327" s="18" t="s">
        <v>5185</v>
      </c>
      <c r="V327" s="18" t="s">
        <v>106</v>
      </c>
      <c r="W327" s="18" t="s">
        <v>5211</v>
      </c>
      <c r="Y327" s="18" t="s">
        <v>5162</v>
      </c>
      <c r="Z327" s="18" t="s">
        <v>106</v>
      </c>
      <c r="AA327" s="18" t="s">
        <v>5163</v>
      </c>
      <c r="AB327" s="18" t="s">
        <v>5233</v>
      </c>
      <c r="AC327" s="18" t="s">
        <v>5127</v>
      </c>
      <c r="AD327" s="18" t="s">
        <v>5127</v>
      </c>
      <c r="AE327" s="18" t="s">
        <v>5127</v>
      </c>
      <c r="AF327" s="18" t="s">
        <v>5127</v>
      </c>
      <c r="AG327" s="18" t="s">
        <v>5127</v>
      </c>
      <c r="AH327" s="18" t="s">
        <v>5127</v>
      </c>
      <c r="AI327" s="18">
        <v>3</v>
      </c>
      <c r="AK327" s="18" t="s">
        <v>5164</v>
      </c>
      <c r="AN327" s="18">
        <v>1200</v>
      </c>
      <c r="AO327" s="18" t="s">
        <v>5186</v>
      </c>
      <c r="AP327" s="18" t="s">
        <v>6258</v>
      </c>
      <c r="AQ327" s="18" t="s">
        <v>5486</v>
      </c>
      <c r="AR327" s="18" t="s">
        <v>5132</v>
      </c>
      <c r="AT327" s="17">
        <f>(365*D327*0.7)/1000</f>
        <v>6934.7809999999999</v>
      </c>
      <c r="AU327" s="17">
        <f t="shared" si="17"/>
        <v>160</v>
      </c>
      <c r="AV327" s="18">
        <v>160</v>
      </c>
      <c r="AW327" s="18">
        <v>0</v>
      </c>
      <c r="AY327" s="18" t="s">
        <v>439</v>
      </c>
      <c r="AZ327" s="18">
        <v>0</v>
      </c>
      <c r="BA327" s="18">
        <v>0</v>
      </c>
      <c r="BB327" s="18">
        <v>0</v>
      </c>
      <c r="BE327" s="18">
        <v>6000</v>
      </c>
      <c r="BG327" s="18" t="s">
        <v>5281</v>
      </c>
      <c r="BQ327" s="18">
        <v>216</v>
      </c>
      <c r="BR327" s="18">
        <v>57</v>
      </c>
      <c r="BS327" s="18">
        <v>27</v>
      </c>
      <c r="BT327" s="18">
        <v>126</v>
      </c>
      <c r="BU327" s="18">
        <v>564</v>
      </c>
      <c r="BV327" s="18">
        <f>SUM(BQ327:BU327)</f>
        <v>990</v>
      </c>
      <c r="BW327" s="15">
        <f t="shared" si="18"/>
        <v>990</v>
      </c>
      <c r="BY327" s="18" t="s">
        <v>5134</v>
      </c>
      <c r="BZ327" s="18" t="s">
        <v>5528</v>
      </c>
      <c r="CD327" s="18" t="s">
        <v>5127</v>
      </c>
      <c r="CE327" s="18" t="s">
        <v>111</v>
      </c>
      <c r="CF327" s="18" t="s">
        <v>5282</v>
      </c>
      <c r="CG327" s="18" t="s">
        <v>5427</v>
      </c>
      <c r="CH327" s="18" t="s">
        <v>111</v>
      </c>
      <c r="CI327" s="18" t="s">
        <v>5138</v>
      </c>
      <c r="CJ327" s="18" t="s">
        <v>5196</v>
      </c>
      <c r="CK327" s="18" t="s">
        <v>6259</v>
      </c>
      <c r="CL327" s="18">
        <v>4</v>
      </c>
      <c r="CM327" s="18">
        <v>0</v>
      </c>
      <c r="CN327" s="18">
        <v>1</v>
      </c>
      <c r="CO327" s="18">
        <v>2</v>
      </c>
      <c r="CP327" s="18">
        <v>4</v>
      </c>
      <c r="CQ327" s="18">
        <v>1</v>
      </c>
      <c r="CR327" s="18">
        <v>0</v>
      </c>
      <c r="CS327" s="18" t="s">
        <v>5141</v>
      </c>
      <c r="CT327" s="18">
        <v>1</v>
      </c>
      <c r="CU327" s="18">
        <v>1</v>
      </c>
      <c r="CV327" s="18" t="s">
        <v>5141</v>
      </c>
      <c r="CX327" s="18">
        <v>0</v>
      </c>
      <c r="CY327" s="18">
        <v>0</v>
      </c>
      <c r="CZ327" s="18">
        <v>0</v>
      </c>
      <c r="DA327" s="18">
        <v>0</v>
      </c>
      <c r="DB327" s="18">
        <v>0</v>
      </c>
      <c r="DC327" s="18">
        <v>0</v>
      </c>
      <c r="DD327" s="18">
        <v>1</v>
      </c>
      <c r="DE327" s="18">
        <v>0</v>
      </c>
      <c r="DF327" s="18">
        <v>0</v>
      </c>
      <c r="DG327" s="18">
        <v>0</v>
      </c>
      <c r="DH327" s="18">
        <v>0</v>
      </c>
      <c r="DI327" s="18">
        <v>0</v>
      </c>
      <c r="DK327" s="18">
        <v>0</v>
      </c>
      <c r="DL327" s="18">
        <v>1</v>
      </c>
      <c r="DM327" s="18" t="s">
        <v>5127</v>
      </c>
      <c r="DN327" s="18" t="s">
        <v>5172</v>
      </c>
      <c r="DO327" s="18" t="s">
        <v>6260</v>
      </c>
      <c r="DP327" s="18" t="s">
        <v>113</v>
      </c>
      <c r="DQ327" s="18" t="s">
        <v>179</v>
      </c>
      <c r="DS327" s="18">
        <v>0</v>
      </c>
      <c r="DT327" s="18">
        <v>2</v>
      </c>
      <c r="DU327" s="18">
        <v>0</v>
      </c>
      <c r="DV327" s="18" t="s">
        <v>5200</v>
      </c>
      <c r="DX327" s="18" t="s">
        <v>5222</v>
      </c>
      <c r="DY327" s="18" t="s">
        <v>106</v>
      </c>
      <c r="DZ327" s="18" t="s">
        <v>113</v>
      </c>
      <c r="EA327" s="18" t="s">
        <v>5261</v>
      </c>
      <c r="EB327" s="18">
        <v>1040</v>
      </c>
      <c r="EC327" s="18" t="s">
        <v>106</v>
      </c>
      <c r="ED327" s="18" t="s">
        <v>5176</v>
      </c>
      <c r="EE327" s="18" t="s">
        <v>106</v>
      </c>
      <c r="EF327" s="18" t="s">
        <v>113</v>
      </c>
      <c r="EG327" s="18" t="s">
        <v>5148</v>
      </c>
      <c r="EH327" s="18" t="s">
        <v>5203</v>
      </c>
      <c r="EI327" s="18" t="s">
        <v>5204</v>
      </c>
      <c r="EJ327" s="18" t="s">
        <v>6261</v>
      </c>
      <c r="EK327" s="18" t="s">
        <v>113</v>
      </c>
      <c r="EL327" s="18" t="s">
        <v>1263</v>
      </c>
      <c r="EM327" s="18" t="s">
        <v>1263</v>
      </c>
      <c r="EN327" s="18" t="s">
        <v>113</v>
      </c>
      <c r="EO327" s="18" t="s">
        <v>106</v>
      </c>
      <c r="EP327" s="18" t="s">
        <v>113</v>
      </c>
      <c r="EQ327" s="18" t="s">
        <v>106</v>
      </c>
      <c r="ER327" s="18" t="s">
        <v>5206</v>
      </c>
      <c r="ES327" s="18" t="s">
        <v>5153</v>
      </c>
      <c r="ET327" s="18" t="s">
        <v>5154</v>
      </c>
      <c r="EU327" s="18" t="s">
        <v>5318</v>
      </c>
      <c r="EV327" s="18" t="s">
        <v>5898</v>
      </c>
      <c r="EW327" s="18" t="s">
        <v>6214</v>
      </c>
      <c r="EX327" s="18" t="s">
        <v>5158</v>
      </c>
      <c r="EY327" s="18" t="s">
        <v>164</v>
      </c>
      <c r="EZ327" s="18" t="s">
        <v>5160</v>
      </c>
      <c r="FA327" s="18" t="s">
        <v>144</v>
      </c>
      <c r="FB327" s="18" t="s">
        <v>5161</v>
      </c>
    </row>
    <row r="328" spans="1:158" ht="10.5" customHeight="1" x14ac:dyDescent="0.2">
      <c r="A328" s="16">
        <v>41</v>
      </c>
      <c r="B328" s="16" t="s">
        <v>1809</v>
      </c>
      <c r="C328" s="16" t="s">
        <v>704</v>
      </c>
      <c r="D328" s="16">
        <v>5744</v>
      </c>
      <c r="E328" s="16" t="s">
        <v>6656</v>
      </c>
      <c r="H328" s="15" t="s">
        <v>6661</v>
      </c>
      <c r="AT328" s="17">
        <f>(365*D328*0.7)/1000</f>
        <v>1467.5920000000001</v>
      </c>
      <c r="AU328" s="17">
        <f t="shared" si="17"/>
        <v>0</v>
      </c>
      <c r="BW328" s="15">
        <f t="shared" si="18"/>
        <v>0</v>
      </c>
    </row>
    <row r="329" spans="1:158" ht="10.5" customHeight="1" x14ac:dyDescent="0.2">
      <c r="A329" s="16">
        <v>41</v>
      </c>
      <c r="B329" s="16" t="s">
        <v>3071</v>
      </c>
      <c r="C329" s="16" t="s">
        <v>3070</v>
      </c>
      <c r="D329" s="16">
        <v>7201</v>
      </c>
      <c r="E329" s="16" t="s">
        <v>6656</v>
      </c>
      <c r="F329" s="18" t="s">
        <v>3070</v>
      </c>
      <c r="G329" s="18" t="s">
        <v>113</v>
      </c>
      <c r="H329" s="15" t="s">
        <v>111</v>
      </c>
      <c r="AT329" s="17">
        <f>(365*D329*0.7)/1000</f>
        <v>1839.8554999999997</v>
      </c>
      <c r="AU329" s="17">
        <f t="shared" si="17"/>
        <v>0</v>
      </c>
      <c r="BW329" s="15">
        <f t="shared" si="18"/>
        <v>0</v>
      </c>
    </row>
    <row r="330" spans="1:158" ht="10.5" customHeight="1" x14ac:dyDescent="0.2">
      <c r="A330" s="16">
        <v>41</v>
      </c>
      <c r="B330" s="16" t="s">
        <v>3120</v>
      </c>
      <c r="C330" s="16" t="s">
        <v>3121</v>
      </c>
      <c r="D330" s="16">
        <v>12287</v>
      </c>
      <c r="E330" s="16" t="s">
        <v>6656</v>
      </c>
      <c r="H330" s="15" t="s">
        <v>6661</v>
      </c>
      <c r="AT330" s="17">
        <f>(365*D330*0.7)/1000</f>
        <v>3139.3285000000001</v>
      </c>
      <c r="AU330" s="17">
        <f t="shared" si="17"/>
        <v>0</v>
      </c>
      <c r="BW330" s="15">
        <f t="shared" si="18"/>
        <v>0</v>
      </c>
    </row>
    <row r="331" spans="1:158" ht="10.5" customHeight="1" x14ac:dyDescent="0.2">
      <c r="A331" s="16">
        <v>41</v>
      </c>
      <c r="B331" s="16" t="s">
        <v>3081</v>
      </c>
      <c r="C331" s="16" t="s">
        <v>3080</v>
      </c>
      <c r="D331" s="16">
        <v>13085</v>
      </c>
      <c r="E331" s="16" t="s">
        <v>6656</v>
      </c>
      <c r="F331" s="18" t="s">
        <v>3080</v>
      </c>
      <c r="G331" s="18" t="s">
        <v>106</v>
      </c>
      <c r="H331" s="15" t="s">
        <v>5127</v>
      </c>
      <c r="I331" s="18">
        <v>12</v>
      </c>
      <c r="J331" s="18">
        <v>8</v>
      </c>
      <c r="K331" s="18">
        <v>4</v>
      </c>
      <c r="L331" s="18">
        <v>0</v>
      </c>
      <c r="M331" s="18" t="s">
        <v>5183</v>
      </c>
      <c r="N331" s="18" t="s">
        <v>6262</v>
      </c>
      <c r="O331" s="18">
        <v>45688</v>
      </c>
      <c r="T331" s="18" t="s">
        <v>111</v>
      </c>
      <c r="U331" s="18" t="s">
        <v>5123</v>
      </c>
      <c r="V331" s="18" t="s">
        <v>106</v>
      </c>
      <c r="W331" s="18" t="s">
        <v>5211</v>
      </c>
      <c r="Y331" s="18" t="s">
        <v>5162</v>
      </c>
      <c r="Z331" s="18" t="s">
        <v>106</v>
      </c>
      <c r="AA331" s="18" t="s">
        <v>5163</v>
      </c>
      <c r="AB331" s="18" t="s">
        <v>5233</v>
      </c>
      <c r="AC331" s="18" t="s">
        <v>5127</v>
      </c>
      <c r="AD331" s="18" t="s">
        <v>5127</v>
      </c>
      <c r="AE331" s="18" t="s">
        <v>5127</v>
      </c>
      <c r="AF331" s="18" t="s">
        <v>5127</v>
      </c>
      <c r="AG331" s="18" t="s">
        <v>5127</v>
      </c>
      <c r="AH331" s="18" t="s">
        <v>5127</v>
      </c>
      <c r="AI331" s="18">
        <v>1</v>
      </c>
      <c r="AK331" s="18" t="s">
        <v>5164</v>
      </c>
      <c r="AN331" s="18">
        <v>2820</v>
      </c>
      <c r="AO331" s="18" t="s">
        <v>5186</v>
      </c>
      <c r="AP331" s="18" t="s">
        <v>6263</v>
      </c>
      <c r="AQ331" s="18" t="s">
        <v>5131</v>
      </c>
      <c r="AR331" s="18" t="s">
        <v>5355</v>
      </c>
      <c r="AT331" s="17">
        <f>(365*D331*0.7)/1000</f>
        <v>3343.2175000000002</v>
      </c>
      <c r="AU331" s="17">
        <f t="shared" si="17"/>
        <v>2400</v>
      </c>
      <c r="AV331" s="18">
        <v>2400</v>
      </c>
      <c r="AW331" s="18">
        <v>0</v>
      </c>
      <c r="AY331" s="18" t="s">
        <v>5620</v>
      </c>
      <c r="BE331" s="18">
        <v>5000</v>
      </c>
      <c r="BG331" s="18" t="s">
        <v>5190</v>
      </c>
      <c r="BQ331" s="18">
        <v>150</v>
      </c>
      <c r="BR331" s="18">
        <v>120</v>
      </c>
      <c r="BS331" s="18">
        <v>30</v>
      </c>
      <c r="BT331" s="18">
        <v>50</v>
      </c>
      <c r="BU331" s="18">
        <v>100</v>
      </c>
      <c r="BV331" s="18">
        <v>450</v>
      </c>
      <c r="BW331" s="15">
        <f t="shared" si="18"/>
        <v>450</v>
      </c>
      <c r="BY331" s="18" t="s">
        <v>5134</v>
      </c>
      <c r="BZ331" s="18" t="s">
        <v>5494</v>
      </c>
      <c r="CD331" s="18" t="s">
        <v>5127</v>
      </c>
      <c r="CE331" s="18" t="s">
        <v>5127</v>
      </c>
      <c r="CF331" s="18" t="s">
        <v>5135</v>
      </c>
      <c r="CG331" s="18" t="s">
        <v>6264</v>
      </c>
      <c r="CH331" s="18" t="s">
        <v>5556</v>
      </c>
      <c r="CI331" s="18" t="s">
        <v>5138</v>
      </c>
      <c r="CJ331" s="18" t="s">
        <v>5196</v>
      </c>
      <c r="CK331" s="18" t="s">
        <v>5197</v>
      </c>
      <c r="CL331" s="18">
        <v>2</v>
      </c>
      <c r="CM331" s="18">
        <v>0</v>
      </c>
      <c r="CN331" s="18">
        <v>1</v>
      </c>
      <c r="CO331" s="18">
        <v>2</v>
      </c>
      <c r="CP331" s="18">
        <v>1</v>
      </c>
      <c r="CQ331" s="18">
        <v>1</v>
      </c>
      <c r="CR331" s="18" t="s">
        <v>5141</v>
      </c>
      <c r="CS331" s="18" t="s">
        <v>5141</v>
      </c>
      <c r="CT331" s="18">
        <v>1</v>
      </c>
      <c r="CU331" s="18">
        <v>1</v>
      </c>
      <c r="CV331" s="18">
        <v>1</v>
      </c>
      <c r="CX331" s="18">
        <v>1</v>
      </c>
      <c r="CY331" s="18">
        <v>1</v>
      </c>
      <c r="CZ331" s="18">
        <v>1</v>
      </c>
      <c r="DA331" s="18">
        <v>1</v>
      </c>
      <c r="DB331" s="18">
        <v>1</v>
      </c>
      <c r="DC331" s="18">
        <v>1</v>
      </c>
      <c r="DD331" s="18">
        <v>1</v>
      </c>
      <c r="DE331" s="18" t="s">
        <v>5141</v>
      </c>
      <c r="DF331" s="18" t="s">
        <v>5141</v>
      </c>
      <c r="DG331" s="18">
        <v>2</v>
      </c>
      <c r="DH331" s="18">
        <v>1</v>
      </c>
      <c r="DI331" s="18">
        <v>2</v>
      </c>
      <c r="DK331" s="18">
        <v>1</v>
      </c>
      <c r="DL331" s="18">
        <v>1</v>
      </c>
      <c r="DM331" s="18" t="s">
        <v>5127</v>
      </c>
      <c r="DN331" s="18" t="s">
        <v>5258</v>
      </c>
      <c r="DO331" s="18" t="s">
        <v>6265</v>
      </c>
      <c r="DP331" s="18" t="s">
        <v>113</v>
      </c>
      <c r="DQ331" s="18" t="s">
        <v>5221</v>
      </c>
      <c r="DS331" s="18">
        <v>10</v>
      </c>
      <c r="DT331" s="18">
        <v>1</v>
      </c>
      <c r="DU331" s="18">
        <v>1</v>
      </c>
      <c r="DV331" s="18" t="s">
        <v>5444</v>
      </c>
      <c r="DX331" s="18" t="s">
        <v>5201</v>
      </c>
      <c r="DY331" s="18" t="s">
        <v>106</v>
      </c>
      <c r="DZ331" s="18" t="s">
        <v>113</v>
      </c>
      <c r="EA331" s="18" t="s">
        <v>5261</v>
      </c>
      <c r="EB331" s="18">
        <v>350</v>
      </c>
      <c r="EC331" s="18" t="s">
        <v>106</v>
      </c>
      <c r="ED331" s="18" t="s">
        <v>5176</v>
      </c>
      <c r="EE331" s="18" t="s">
        <v>113</v>
      </c>
      <c r="EF331" s="18" t="s">
        <v>113</v>
      </c>
      <c r="EG331" s="18" t="s">
        <v>6266</v>
      </c>
      <c r="EH331" s="18" t="s">
        <v>5203</v>
      </c>
      <c r="EI331" s="18" t="s">
        <v>5204</v>
      </c>
      <c r="EJ331" s="18" t="s">
        <v>5445</v>
      </c>
      <c r="EK331" s="18" t="s">
        <v>113</v>
      </c>
      <c r="EL331" s="18" t="s">
        <v>5429</v>
      </c>
      <c r="EM331" s="18" t="s">
        <v>6267</v>
      </c>
      <c r="EN331" s="18" t="s">
        <v>106</v>
      </c>
      <c r="EO331" s="18" t="s">
        <v>113</v>
      </c>
      <c r="EP331" s="18" t="s">
        <v>113</v>
      </c>
      <c r="EQ331" s="18" t="s">
        <v>113</v>
      </c>
      <c r="ER331" s="18" t="s">
        <v>5206</v>
      </c>
      <c r="ES331" s="18" t="s">
        <v>5153</v>
      </c>
      <c r="ET331" s="18" t="s">
        <v>5154</v>
      </c>
      <c r="EU331" s="18" t="s">
        <v>5155</v>
      </c>
      <c r="EV331" s="18" t="s">
        <v>5489</v>
      </c>
      <c r="EW331" s="18" t="s">
        <v>5766</v>
      </c>
      <c r="EX331" s="18" t="s">
        <v>5158</v>
      </c>
      <c r="EY331" s="18" t="s">
        <v>5229</v>
      </c>
      <c r="EZ331" s="18" t="s">
        <v>5160</v>
      </c>
      <c r="FA331" s="18" t="s">
        <v>144</v>
      </c>
      <c r="FB331" s="18" t="s">
        <v>5161</v>
      </c>
    </row>
    <row r="332" spans="1:158" ht="10.5" customHeight="1" x14ac:dyDescent="0.2">
      <c r="A332" s="16">
        <v>41</v>
      </c>
      <c r="B332" s="16" t="s">
        <v>3098</v>
      </c>
      <c r="C332" s="16" t="s">
        <v>3097</v>
      </c>
      <c r="D332" s="16">
        <v>5960</v>
      </c>
      <c r="E332" s="16" t="s">
        <v>6656</v>
      </c>
      <c r="F332" s="18" t="s">
        <v>3097</v>
      </c>
      <c r="G332" s="18" t="s">
        <v>106</v>
      </c>
      <c r="H332" s="15" t="s">
        <v>5127</v>
      </c>
      <c r="I332" s="18">
        <v>3</v>
      </c>
      <c r="J332" s="18">
        <v>2</v>
      </c>
      <c r="K332" s="18">
        <v>1</v>
      </c>
      <c r="L332" s="18">
        <v>0</v>
      </c>
      <c r="M332" s="18" t="s">
        <v>5121</v>
      </c>
      <c r="N332" s="18" t="s">
        <v>6268</v>
      </c>
      <c r="O332" s="18">
        <v>46435</v>
      </c>
      <c r="T332" s="18" t="s">
        <v>111</v>
      </c>
      <c r="U332" s="18" t="s">
        <v>5250</v>
      </c>
      <c r="V332" s="18" t="s">
        <v>106</v>
      </c>
      <c r="W332" s="18" t="s">
        <v>5124</v>
      </c>
      <c r="Y332" s="18" t="s">
        <v>5232</v>
      </c>
      <c r="Z332" s="18" t="s">
        <v>106</v>
      </c>
      <c r="AA332" s="18" t="s">
        <v>5163</v>
      </c>
      <c r="AB332" s="18" t="s">
        <v>5213</v>
      </c>
      <c r="AC332" s="18" t="s">
        <v>5127</v>
      </c>
      <c r="AD332" s="18" t="s">
        <v>5127</v>
      </c>
      <c r="AE332" s="18" t="s">
        <v>5127</v>
      </c>
      <c r="AF332" s="18" t="s">
        <v>111</v>
      </c>
      <c r="AG332" s="18" t="s">
        <v>5127</v>
      </c>
      <c r="AH332" s="18" t="s">
        <v>5127</v>
      </c>
      <c r="AI332" s="18">
        <v>0</v>
      </c>
      <c r="AK332" s="18" t="s">
        <v>5164</v>
      </c>
      <c r="AN332" s="18">
        <v>0</v>
      </c>
      <c r="AO332" s="18" t="s">
        <v>5391</v>
      </c>
      <c r="AP332" s="18" t="s">
        <v>6269</v>
      </c>
      <c r="AQ332" s="18" t="s">
        <v>5252</v>
      </c>
      <c r="AR332" s="18" t="s">
        <v>5168</v>
      </c>
      <c r="AT332" s="17">
        <f>(365*D332*0.7)/1000</f>
        <v>1522.78</v>
      </c>
      <c r="AU332" s="17">
        <f t="shared" si="17"/>
        <v>0</v>
      </c>
      <c r="AV332" s="18">
        <v>0</v>
      </c>
      <c r="AW332" s="18">
        <v>0</v>
      </c>
      <c r="AY332" s="18" t="s">
        <v>5334</v>
      </c>
      <c r="BG332" s="18" t="s">
        <v>5613</v>
      </c>
      <c r="BQ332" s="18">
        <v>0</v>
      </c>
      <c r="BR332" s="18">
        <v>0</v>
      </c>
      <c r="BS332" s="18">
        <v>0</v>
      </c>
      <c r="BT332" s="18">
        <v>0</v>
      </c>
      <c r="BU332" s="18">
        <v>0</v>
      </c>
      <c r="BV332" s="18">
        <v>3</v>
      </c>
      <c r="BW332" s="15">
        <f t="shared" si="18"/>
        <v>0</v>
      </c>
      <c r="BY332" s="18" t="s">
        <v>5419</v>
      </c>
      <c r="BZ332" s="18" t="s">
        <v>193</v>
      </c>
      <c r="CD332" s="18" t="s">
        <v>5127</v>
      </c>
      <c r="CE332" s="18" t="s">
        <v>111</v>
      </c>
      <c r="CF332" s="18" t="s">
        <v>5135</v>
      </c>
      <c r="CG332" s="18" t="s">
        <v>6270</v>
      </c>
      <c r="CH332" s="18" t="s">
        <v>5241</v>
      </c>
      <c r="CI332" s="18" t="s">
        <v>111</v>
      </c>
      <c r="CJ332" s="18" t="s">
        <v>5139</v>
      </c>
      <c r="CK332" s="18" t="s">
        <v>179</v>
      </c>
      <c r="CL332" s="18">
        <v>0</v>
      </c>
      <c r="CM332" s="18">
        <v>0</v>
      </c>
      <c r="CN332" s="18">
        <v>0</v>
      </c>
      <c r="CO332" s="18">
        <v>1</v>
      </c>
      <c r="CP332" s="18">
        <v>0</v>
      </c>
      <c r="CQ332" s="18">
        <v>0</v>
      </c>
      <c r="CR332" s="18">
        <v>0</v>
      </c>
      <c r="CS332" s="18" t="s">
        <v>5141</v>
      </c>
      <c r="CT332" s="18">
        <v>0</v>
      </c>
      <c r="CU332" s="18">
        <v>0</v>
      </c>
      <c r="CV332" s="18">
        <v>1</v>
      </c>
      <c r="CX332" s="18">
        <v>1</v>
      </c>
      <c r="CY332" s="18">
        <v>1</v>
      </c>
      <c r="CZ332" s="18">
        <v>1</v>
      </c>
      <c r="DA332" s="18">
        <v>1</v>
      </c>
      <c r="DB332" s="18">
        <v>1</v>
      </c>
      <c r="DC332" s="18">
        <v>1</v>
      </c>
      <c r="DD332" s="18">
        <v>1</v>
      </c>
      <c r="DE332" s="18">
        <v>1</v>
      </c>
      <c r="DF332" s="18" t="s">
        <v>5141</v>
      </c>
      <c r="DG332" s="18">
        <v>1</v>
      </c>
      <c r="DH332" s="18">
        <v>1</v>
      </c>
      <c r="DI332" s="18">
        <v>1</v>
      </c>
      <c r="DK332" s="18">
        <v>0</v>
      </c>
      <c r="DL332" s="18">
        <v>1</v>
      </c>
      <c r="DM332" s="18" t="s">
        <v>111</v>
      </c>
      <c r="DN332" s="18" t="s">
        <v>5172</v>
      </c>
      <c r="DO332" s="18" t="s">
        <v>5259</v>
      </c>
      <c r="DP332" s="18" t="s">
        <v>113</v>
      </c>
      <c r="DQ332" s="18" t="s">
        <v>5168</v>
      </c>
      <c r="DS332" s="18">
        <v>0</v>
      </c>
      <c r="DT332" s="18">
        <v>0</v>
      </c>
      <c r="DU332" s="18">
        <v>1</v>
      </c>
      <c r="DV332" s="18" t="s">
        <v>5324</v>
      </c>
      <c r="DX332" s="18" t="s">
        <v>5222</v>
      </c>
      <c r="DY332" s="18" t="s">
        <v>106</v>
      </c>
      <c r="DZ332" s="18" t="s">
        <v>113</v>
      </c>
      <c r="EA332" s="18" t="s">
        <v>5146</v>
      </c>
      <c r="EB332" s="18">
        <v>0</v>
      </c>
      <c r="EC332" s="18" t="s">
        <v>113</v>
      </c>
      <c r="ED332" s="18" t="s">
        <v>5147</v>
      </c>
      <c r="EE332" s="18" t="s">
        <v>113</v>
      </c>
      <c r="EF332" s="18" t="s">
        <v>113</v>
      </c>
      <c r="EG332" s="18" t="s">
        <v>5148</v>
      </c>
      <c r="EH332" s="18" t="s">
        <v>5149</v>
      </c>
      <c r="EI332" s="18" t="s">
        <v>5150</v>
      </c>
      <c r="EJ332" s="18" t="s">
        <v>5945</v>
      </c>
      <c r="EK332" s="18" t="s">
        <v>113</v>
      </c>
      <c r="EN332" s="18" t="s">
        <v>113</v>
      </c>
      <c r="EO332" s="18" t="s">
        <v>113</v>
      </c>
      <c r="EP332" s="18" t="s">
        <v>113</v>
      </c>
      <c r="EQ332" s="18" t="s">
        <v>113</v>
      </c>
      <c r="ER332" s="18" t="s">
        <v>5152</v>
      </c>
      <c r="ES332" s="18" t="s">
        <v>5153</v>
      </c>
      <c r="ET332" s="18" t="s">
        <v>5154</v>
      </c>
      <c r="EU332" s="18" t="s">
        <v>5155</v>
      </c>
      <c r="EV332" s="18" t="s">
        <v>5926</v>
      </c>
      <c r="EW332" s="18" t="s">
        <v>5593</v>
      </c>
      <c r="EX332" s="18" t="s">
        <v>5158</v>
      </c>
      <c r="EY332" s="18" t="s">
        <v>5229</v>
      </c>
      <c r="EZ332" s="18" t="s">
        <v>5160</v>
      </c>
      <c r="FA332" s="18" t="s">
        <v>144</v>
      </c>
      <c r="FB332" s="18" t="s">
        <v>5161</v>
      </c>
    </row>
    <row r="333" spans="1:158" ht="10.5" customHeight="1" x14ac:dyDescent="0.2">
      <c r="A333" s="16">
        <v>41</v>
      </c>
      <c r="B333" s="16" t="s">
        <v>3190</v>
      </c>
      <c r="C333" s="16" t="s">
        <v>3191</v>
      </c>
      <c r="D333" s="16">
        <v>13196</v>
      </c>
      <c r="E333" s="16" t="s">
        <v>6656</v>
      </c>
      <c r="H333" s="15" t="s">
        <v>6661</v>
      </c>
      <c r="AT333" s="17">
        <f>(365*D333*0.7)/1000</f>
        <v>3371.578</v>
      </c>
      <c r="AU333" s="17">
        <f t="shared" si="17"/>
        <v>0</v>
      </c>
      <c r="BW333" s="15">
        <f t="shared" si="18"/>
        <v>0</v>
      </c>
    </row>
    <row r="334" spans="1:158" ht="10.5" customHeight="1" x14ac:dyDescent="0.2">
      <c r="A334" s="16">
        <v>41</v>
      </c>
      <c r="B334" s="16" t="s">
        <v>3106</v>
      </c>
      <c r="C334" s="16" t="s">
        <v>3105</v>
      </c>
      <c r="D334" s="16">
        <v>4280</v>
      </c>
      <c r="E334" s="16" t="s">
        <v>6656</v>
      </c>
      <c r="H334" s="15" t="s">
        <v>6661</v>
      </c>
      <c r="AT334" s="17">
        <f>(365*D334*0.7)/1000</f>
        <v>1093.54</v>
      </c>
      <c r="AU334" s="17">
        <f t="shared" si="17"/>
        <v>0</v>
      </c>
      <c r="BW334" s="15">
        <f t="shared" si="18"/>
        <v>0</v>
      </c>
    </row>
    <row r="335" spans="1:158" ht="10.5" customHeight="1" x14ac:dyDescent="0.2">
      <c r="A335" s="16">
        <v>41</v>
      </c>
      <c r="B335" s="16" t="s">
        <v>3123</v>
      </c>
      <c r="C335" s="16" t="s">
        <v>3122</v>
      </c>
      <c r="D335" s="16">
        <v>8535</v>
      </c>
      <c r="E335" s="16" t="s">
        <v>6656</v>
      </c>
      <c r="H335" s="15" t="s">
        <v>6661</v>
      </c>
      <c r="AT335" s="17">
        <f>(365*D335*0.7)/1000</f>
        <v>2180.6925000000001</v>
      </c>
      <c r="AU335" s="17">
        <f t="shared" si="17"/>
        <v>0</v>
      </c>
      <c r="BW335" s="15">
        <f t="shared" si="18"/>
        <v>0</v>
      </c>
    </row>
    <row r="336" spans="1:158" ht="10.5" customHeight="1" x14ac:dyDescent="0.2">
      <c r="A336" s="16">
        <v>41</v>
      </c>
      <c r="B336" s="16" t="s">
        <v>3134</v>
      </c>
      <c r="C336" s="16" t="s">
        <v>3133</v>
      </c>
      <c r="D336" s="16">
        <v>6870</v>
      </c>
      <c r="E336" s="16" t="s">
        <v>6656</v>
      </c>
      <c r="F336" s="18" t="s">
        <v>3133</v>
      </c>
      <c r="G336" s="18" t="s">
        <v>106</v>
      </c>
      <c r="H336" s="15" t="s">
        <v>5127</v>
      </c>
      <c r="I336" s="18">
        <v>16</v>
      </c>
      <c r="J336" s="18">
        <v>1</v>
      </c>
      <c r="K336" s="18">
        <v>15</v>
      </c>
      <c r="L336" s="18">
        <v>0</v>
      </c>
      <c r="M336" s="18" t="s">
        <v>5183</v>
      </c>
      <c r="N336" s="18" t="s">
        <v>6271</v>
      </c>
      <c r="O336" s="18">
        <v>48202</v>
      </c>
      <c r="T336" s="18" t="s">
        <v>111</v>
      </c>
      <c r="U336" s="18" t="s">
        <v>5123</v>
      </c>
      <c r="V336" s="18" t="s">
        <v>106</v>
      </c>
      <c r="W336" s="18" t="s">
        <v>5211</v>
      </c>
      <c r="Y336" s="18" t="s">
        <v>5232</v>
      </c>
      <c r="Z336" s="18" t="s">
        <v>106</v>
      </c>
      <c r="AA336" s="18" t="s">
        <v>5163</v>
      </c>
      <c r="AB336" s="18" t="s">
        <v>5233</v>
      </c>
      <c r="AC336" s="18" t="s">
        <v>111</v>
      </c>
      <c r="AD336" s="18" t="s">
        <v>111</v>
      </c>
      <c r="AE336" s="18" t="s">
        <v>111</v>
      </c>
      <c r="AF336" s="18" t="s">
        <v>5127</v>
      </c>
      <c r="AG336" s="18" t="s">
        <v>5127</v>
      </c>
      <c r="AH336" s="18" t="s">
        <v>111</v>
      </c>
      <c r="AI336" s="18">
        <v>0</v>
      </c>
      <c r="AK336" s="18" t="s">
        <v>5145</v>
      </c>
      <c r="AN336" s="18">
        <v>608</v>
      </c>
      <c r="AO336" s="18" t="s">
        <v>5129</v>
      </c>
      <c r="AP336" s="18" t="s">
        <v>6272</v>
      </c>
      <c r="AQ336" s="18" t="s">
        <v>5252</v>
      </c>
      <c r="AR336" s="18" t="s">
        <v>179</v>
      </c>
      <c r="AT336" s="17">
        <f>(365*D336*0.7)/1000</f>
        <v>1755.2850000000001</v>
      </c>
      <c r="AU336" s="17">
        <f t="shared" si="17"/>
        <v>381</v>
      </c>
      <c r="AV336" s="18">
        <v>381</v>
      </c>
      <c r="AW336" s="18">
        <v>0</v>
      </c>
      <c r="AY336" s="18" t="s">
        <v>164</v>
      </c>
      <c r="AZ336" s="18">
        <v>0</v>
      </c>
      <c r="BA336" s="18">
        <v>0</v>
      </c>
      <c r="BB336" s="18">
        <v>0</v>
      </c>
      <c r="BD336" s="18">
        <v>0</v>
      </c>
      <c r="BE336" s="18">
        <v>0</v>
      </c>
      <c r="BG336" s="18" t="s">
        <v>5663</v>
      </c>
      <c r="BH336" s="18">
        <f>1560/1000</f>
        <v>1.56</v>
      </c>
      <c r="BI336" s="18">
        <f>480/1000</f>
        <v>0.48</v>
      </c>
      <c r="BJ336" s="18">
        <f>8400/1000</f>
        <v>8.4</v>
      </c>
      <c r="BQ336" s="18">
        <v>25</v>
      </c>
      <c r="BR336" s="18">
        <v>60</v>
      </c>
      <c r="BS336" s="18">
        <f>13800/1000</f>
        <v>13.8</v>
      </c>
      <c r="BT336" s="18">
        <f>3600/1000</f>
        <v>3.6</v>
      </c>
      <c r="BU336" s="18">
        <f>114</f>
        <v>114</v>
      </c>
      <c r="BV336" s="18">
        <f>SUM(BQ336:BU336)</f>
        <v>216.39999999999998</v>
      </c>
      <c r="BW336" s="15">
        <f t="shared" si="18"/>
        <v>216.39999999999998</v>
      </c>
      <c r="BY336" s="18" t="s">
        <v>5134</v>
      </c>
      <c r="BZ336" s="18" t="s">
        <v>5192</v>
      </c>
      <c r="CD336" s="18" t="s">
        <v>5127</v>
      </c>
      <c r="CE336" s="18" t="s">
        <v>111</v>
      </c>
      <c r="CF336" s="18" t="s">
        <v>5135</v>
      </c>
      <c r="CG336" s="18" t="s">
        <v>5427</v>
      </c>
      <c r="CH336" s="18" t="s">
        <v>5241</v>
      </c>
      <c r="CI336" s="18" t="s">
        <v>5138</v>
      </c>
      <c r="CJ336" s="18" t="s">
        <v>5139</v>
      </c>
      <c r="CK336" s="18" t="s">
        <v>5197</v>
      </c>
      <c r="CL336" s="18">
        <v>1</v>
      </c>
      <c r="CM336" s="18">
        <v>0</v>
      </c>
      <c r="CN336" s="18">
        <v>0</v>
      </c>
      <c r="CO336" s="18">
        <v>0</v>
      </c>
      <c r="CP336" s="18">
        <v>2</v>
      </c>
      <c r="CQ336" s="18">
        <v>0</v>
      </c>
      <c r="CR336" s="18">
        <v>0</v>
      </c>
      <c r="CS336" s="18" t="s">
        <v>5141</v>
      </c>
      <c r="CT336" s="18">
        <v>0</v>
      </c>
      <c r="CU336" s="18">
        <v>0</v>
      </c>
      <c r="CV336" s="18">
        <v>0</v>
      </c>
      <c r="CX336" s="18">
        <v>1</v>
      </c>
      <c r="CY336" s="18">
        <v>1</v>
      </c>
      <c r="CZ336" s="18">
        <v>1</v>
      </c>
      <c r="DA336" s="18">
        <v>1</v>
      </c>
      <c r="DB336" s="18">
        <v>1</v>
      </c>
      <c r="DC336" s="18">
        <v>1</v>
      </c>
      <c r="DD336" s="18">
        <v>1</v>
      </c>
      <c r="DE336" s="18">
        <v>2</v>
      </c>
      <c r="DF336" s="18" t="s">
        <v>5141</v>
      </c>
      <c r="DG336" s="18">
        <v>1</v>
      </c>
      <c r="DH336" s="18">
        <v>1</v>
      </c>
      <c r="DI336" s="18">
        <v>1</v>
      </c>
      <c r="DK336" s="18">
        <v>1</v>
      </c>
      <c r="DL336" s="18">
        <v>1</v>
      </c>
      <c r="DM336" s="18" t="s">
        <v>5127</v>
      </c>
      <c r="DN336" s="18" t="s">
        <v>5172</v>
      </c>
      <c r="DO336" s="18" t="s">
        <v>5259</v>
      </c>
      <c r="DP336" s="18" t="s">
        <v>106</v>
      </c>
      <c r="DQ336" s="18" t="s">
        <v>179</v>
      </c>
      <c r="DS336" s="18" t="s">
        <v>143</v>
      </c>
      <c r="DT336" s="18">
        <v>0</v>
      </c>
      <c r="DU336" s="18">
        <v>1</v>
      </c>
      <c r="DV336" s="18" t="s">
        <v>5377</v>
      </c>
      <c r="DX336" s="18" t="s">
        <v>5145</v>
      </c>
      <c r="DY336" s="18" t="s">
        <v>106</v>
      </c>
      <c r="DZ336" s="18" t="s">
        <v>113</v>
      </c>
      <c r="EA336" s="18" t="s">
        <v>5285</v>
      </c>
      <c r="EB336" s="18">
        <v>145</v>
      </c>
      <c r="EC336" s="18" t="s">
        <v>113</v>
      </c>
      <c r="ED336" s="18" t="s">
        <v>5147</v>
      </c>
      <c r="EE336" s="18" t="s">
        <v>106</v>
      </c>
      <c r="EF336" s="18" t="s">
        <v>106</v>
      </c>
      <c r="EG336" s="18" t="s">
        <v>5148</v>
      </c>
      <c r="EH336" s="18" t="s">
        <v>5203</v>
      </c>
      <c r="EI336" s="18" t="s">
        <v>5204</v>
      </c>
      <c r="EJ336" s="18" t="s">
        <v>6014</v>
      </c>
      <c r="EK336" s="18" t="s">
        <v>113</v>
      </c>
      <c r="EL336" s="18" t="s">
        <v>124</v>
      </c>
      <c r="EM336" s="18" t="s">
        <v>5227</v>
      </c>
      <c r="EN336" s="18" t="s">
        <v>113</v>
      </c>
      <c r="EO336" s="18" t="s">
        <v>113</v>
      </c>
      <c r="EP336" s="18" t="s">
        <v>113</v>
      </c>
      <c r="EQ336" s="18" t="s">
        <v>113</v>
      </c>
      <c r="ER336" s="18" t="s">
        <v>5155</v>
      </c>
      <c r="ES336" s="18" t="s">
        <v>5317</v>
      </c>
      <c r="ET336" s="18" t="s">
        <v>5154</v>
      </c>
      <c r="EU336" s="18" t="s">
        <v>5155</v>
      </c>
      <c r="EV336" s="18" t="s">
        <v>5372</v>
      </c>
      <c r="EW336" s="18" t="s">
        <v>5593</v>
      </c>
      <c r="EX336" s="18" t="s">
        <v>5158</v>
      </c>
      <c r="EY336" s="18" t="s">
        <v>5229</v>
      </c>
      <c r="EZ336" s="18" t="s">
        <v>5160</v>
      </c>
      <c r="FA336" s="18" t="s">
        <v>144</v>
      </c>
      <c r="FB336" s="18" t="s">
        <v>5161</v>
      </c>
    </row>
    <row r="337" spans="1:158" ht="10.5" customHeight="1" x14ac:dyDescent="0.2">
      <c r="A337" s="16">
        <v>41</v>
      </c>
      <c r="B337" s="16" t="s">
        <v>3145</v>
      </c>
      <c r="C337" s="16" t="s">
        <v>3144</v>
      </c>
      <c r="D337" s="16">
        <v>3210</v>
      </c>
      <c r="E337" s="16" t="s">
        <v>6656</v>
      </c>
      <c r="F337" s="18" t="s">
        <v>3144</v>
      </c>
      <c r="G337" s="18" t="s">
        <v>106</v>
      </c>
      <c r="H337" s="15" t="s">
        <v>5127</v>
      </c>
      <c r="I337" s="18" t="s">
        <v>4819</v>
      </c>
      <c r="J337" s="18" t="s">
        <v>692</v>
      </c>
      <c r="K337" s="18" t="s">
        <v>692</v>
      </c>
      <c r="L337" s="18">
        <v>0</v>
      </c>
      <c r="M337" s="18" t="s">
        <v>5183</v>
      </c>
      <c r="N337" s="18" t="s">
        <v>6273</v>
      </c>
      <c r="O337" s="18">
        <v>47664</v>
      </c>
      <c r="T337" s="18" t="s">
        <v>111</v>
      </c>
      <c r="U337" s="18" t="s">
        <v>5250</v>
      </c>
      <c r="V337" s="18" t="s">
        <v>113</v>
      </c>
      <c r="W337" s="18" t="s">
        <v>5124</v>
      </c>
      <c r="Y337" s="18" t="s">
        <v>5232</v>
      </c>
      <c r="Z337" s="18" t="s">
        <v>106</v>
      </c>
      <c r="AA337" s="18" t="s">
        <v>5163</v>
      </c>
      <c r="AB337" s="18" t="s">
        <v>5213</v>
      </c>
      <c r="AC337" s="18" t="s">
        <v>5127</v>
      </c>
      <c r="AD337" s="18" t="s">
        <v>5127</v>
      </c>
      <c r="AE337" s="18" t="s">
        <v>111</v>
      </c>
      <c r="AF337" s="18" t="s">
        <v>5127</v>
      </c>
      <c r="AG337" s="18" t="s">
        <v>5127</v>
      </c>
      <c r="AH337" s="18" t="s">
        <v>5127</v>
      </c>
      <c r="AI337" s="18">
        <v>1</v>
      </c>
      <c r="AK337" s="18" t="s">
        <v>5279</v>
      </c>
      <c r="AN337" s="18" t="s">
        <v>220</v>
      </c>
      <c r="AO337" s="18" t="s">
        <v>5186</v>
      </c>
      <c r="AP337" s="18" t="s">
        <v>6274</v>
      </c>
      <c r="AQ337" s="18" t="s">
        <v>5252</v>
      </c>
      <c r="AR337" s="18" t="s">
        <v>5168</v>
      </c>
      <c r="AT337" s="17">
        <f>(365*D337*0.7)/1000</f>
        <v>820.15499999999997</v>
      </c>
      <c r="AU337" s="17">
        <f t="shared" si="17"/>
        <v>1</v>
      </c>
      <c r="AV337" s="18">
        <v>1</v>
      </c>
      <c r="AW337" s="18">
        <v>0</v>
      </c>
      <c r="AY337" s="18" t="s">
        <v>5334</v>
      </c>
      <c r="BG337" s="18" t="s">
        <v>5281</v>
      </c>
      <c r="BQ337" s="18">
        <v>7</v>
      </c>
      <c r="BR337" s="18">
        <v>3</v>
      </c>
      <c r="BS337" s="18">
        <v>2</v>
      </c>
      <c r="BT337" s="18">
        <v>6</v>
      </c>
      <c r="BU337" s="18">
        <v>2</v>
      </c>
      <c r="BV337" s="18">
        <f t="shared" ref="BV337:BV339" si="19">SUM(BQ337:BU337)</f>
        <v>20</v>
      </c>
      <c r="BW337" s="15">
        <f t="shared" si="18"/>
        <v>20</v>
      </c>
      <c r="BY337" s="18" t="s">
        <v>5134</v>
      </c>
      <c r="BZ337" s="18" t="s">
        <v>193</v>
      </c>
      <c r="CD337" s="18" t="s">
        <v>5127</v>
      </c>
      <c r="CE337" s="18" t="s">
        <v>5127</v>
      </c>
      <c r="CF337" s="18" t="s">
        <v>5135</v>
      </c>
      <c r="CG337" s="18" t="s">
        <v>5313</v>
      </c>
      <c r="CH337" s="18" t="s">
        <v>5241</v>
      </c>
      <c r="CI337" s="18" t="s">
        <v>111</v>
      </c>
      <c r="CJ337" s="18" t="s">
        <v>5196</v>
      </c>
      <c r="CK337" s="18" t="s">
        <v>5197</v>
      </c>
      <c r="CL337" s="18">
        <v>1</v>
      </c>
      <c r="CM337" s="18">
        <v>0</v>
      </c>
      <c r="CN337" s="18">
        <v>0</v>
      </c>
      <c r="CO337" s="18">
        <v>1</v>
      </c>
      <c r="CP337" s="18">
        <v>1</v>
      </c>
      <c r="CQ337" s="18">
        <v>1</v>
      </c>
      <c r="CR337" s="18">
        <v>0</v>
      </c>
      <c r="CS337" s="18">
        <v>1</v>
      </c>
      <c r="CT337" s="18">
        <v>0</v>
      </c>
      <c r="CU337" s="18">
        <v>0</v>
      </c>
      <c r="CV337" s="18">
        <v>1</v>
      </c>
      <c r="CX337" s="18">
        <v>0</v>
      </c>
      <c r="CY337" s="18">
        <v>0</v>
      </c>
      <c r="CZ337" s="18">
        <v>0</v>
      </c>
      <c r="DA337" s="18">
        <v>1</v>
      </c>
      <c r="DB337" s="18">
        <v>0</v>
      </c>
      <c r="DC337" s="18">
        <v>1</v>
      </c>
      <c r="DD337" s="18">
        <v>0</v>
      </c>
      <c r="DE337" s="18" t="s">
        <v>5141</v>
      </c>
      <c r="DF337" s="18" t="s">
        <v>5141</v>
      </c>
      <c r="DG337" s="18">
        <v>0</v>
      </c>
      <c r="DH337" s="18">
        <v>1</v>
      </c>
      <c r="DI337" s="18">
        <v>2</v>
      </c>
      <c r="DK337" s="18">
        <v>0</v>
      </c>
      <c r="DL337" s="18">
        <v>0</v>
      </c>
      <c r="DM337" s="18" t="s">
        <v>5127</v>
      </c>
      <c r="DN337" s="18" t="s">
        <v>5172</v>
      </c>
      <c r="DO337" s="18" t="s">
        <v>5259</v>
      </c>
      <c r="DP337" s="18" t="s">
        <v>113</v>
      </c>
      <c r="DS337" s="18">
        <v>0</v>
      </c>
      <c r="DT337" s="18">
        <v>1</v>
      </c>
      <c r="DU337" s="18">
        <v>0</v>
      </c>
      <c r="DV337" s="18" t="s">
        <v>5444</v>
      </c>
      <c r="DX337" s="18" t="s">
        <v>5222</v>
      </c>
      <c r="DY337" s="18" t="s">
        <v>106</v>
      </c>
      <c r="DZ337" s="18" t="s">
        <v>113</v>
      </c>
      <c r="EA337" s="18" t="s">
        <v>5243</v>
      </c>
      <c r="EB337" s="18">
        <v>4</v>
      </c>
      <c r="EC337" s="18" t="s">
        <v>113</v>
      </c>
      <c r="ED337" s="18" t="s">
        <v>5176</v>
      </c>
      <c r="EE337" s="18" t="s">
        <v>113</v>
      </c>
      <c r="EF337" s="18" t="s">
        <v>113</v>
      </c>
      <c r="EH337" s="18" t="s">
        <v>5203</v>
      </c>
      <c r="EI337" s="18" t="s">
        <v>5204</v>
      </c>
      <c r="EJ337" s="18" t="s">
        <v>6208</v>
      </c>
      <c r="EN337" s="18" t="s">
        <v>113</v>
      </c>
      <c r="EO337" s="18" t="s">
        <v>113</v>
      </c>
      <c r="EP337" s="18" t="s">
        <v>113</v>
      </c>
      <c r="EQ337" s="18" t="s">
        <v>113</v>
      </c>
      <c r="ER337" s="18" t="s">
        <v>5155</v>
      </c>
      <c r="ES337" s="18" t="s">
        <v>5461</v>
      </c>
      <c r="ET337" s="18" t="s">
        <v>5154</v>
      </c>
      <c r="EX337" s="18" t="s">
        <v>5158</v>
      </c>
      <c r="EY337" s="18" t="s">
        <v>6228</v>
      </c>
      <c r="EZ337" s="18" t="s">
        <v>5160</v>
      </c>
      <c r="FA337" s="18" t="s">
        <v>144</v>
      </c>
      <c r="FB337" s="18" t="s">
        <v>5161</v>
      </c>
    </row>
    <row r="338" spans="1:158" ht="10.5" customHeight="1" x14ac:dyDescent="0.2">
      <c r="A338" s="16">
        <v>41</v>
      </c>
      <c r="B338" s="16" t="s">
        <v>3160</v>
      </c>
      <c r="C338" s="16" t="s">
        <v>3159</v>
      </c>
      <c r="D338" s="16">
        <v>24627</v>
      </c>
      <c r="E338" s="16" t="s">
        <v>6658</v>
      </c>
      <c r="F338" s="18" t="s">
        <v>3159</v>
      </c>
      <c r="G338" s="18" t="s">
        <v>106</v>
      </c>
      <c r="H338" s="15" t="s">
        <v>5127</v>
      </c>
      <c r="I338" s="18" t="s">
        <v>1657</v>
      </c>
      <c r="J338" s="18" t="s">
        <v>4819</v>
      </c>
      <c r="K338" s="18" t="s">
        <v>4819</v>
      </c>
      <c r="L338" s="18">
        <v>0</v>
      </c>
      <c r="M338" s="18" t="s">
        <v>5183</v>
      </c>
      <c r="N338" s="18" t="s">
        <v>2452</v>
      </c>
      <c r="T338" s="18" t="s">
        <v>111</v>
      </c>
      <c r="U338" s="18" t="s">
        <v>5250</v>
      </c>
      <c r="V338" s="18" t="s">
        <v>106</v>
      </c>
      <c r="W338" s="18" t="s">
        <v>5124</v>
      </c>
      <c r="Y338" s="18" t="s">
        <v>5232</v>
      </c>
      <c r="Z338" s="18" t="s">
        <v>106</v>
      </c>
      <c r="AA338" s="18" t="s">
        <v>5163</v>
      </c>
      <c r="AB338" s="18" t="s">
        <v>179</v>
      </c>
      <c r="AC338" s="18" t="s">
        <v>5127</v>
      </c>
      <c r="AD338" s="18" t="s">
        <v>5127</v>
      </c>
      <c r="AE338" s="18" t="s">
        <v>5127</v>
      </c>
      <c r="AF338" s="18" t="s">
        <v>5127</v>
      </c>
      <c r="AG338" s="18" t="s">
        <v>5127</v>
      </c>
      <c r="AH338" s="18" t="s">
        <v>5127</v>
      </c>
      <c r="AI338" s="18">
        <v>1</v>
      </c>
      <c r="AK338" s="18" t="s">
        <v>5164</v>
      </c>
      <c r="AN338" s="18">
        <v>18000</v>
      </c>
      <c r="AO338" s="18" t="s">
        <v>5186</v>
      </c>
      <c r="AP338" s="18" t="s">
        <v>6275</v>
      </c>
      <c r="AQ338" s="18" t="s">
        <v>5955</v>
      </c>
      <c r="AR338" s="18" t="s">
        <v>5168</v>
      </c>
      <c r="AT338" s="17">
        <f>(365*D338*0.7)/1000</f>
        <v>6292.1985000000004</v>
      </c>
      <c r="AU338" s="17">
        <f t="shared" si="17"/>
        <v>0</v>
      </c>
      <c r="AV338" s="18">
        <v>0</v>
      </c>
      <c r="AW338" s="18">
        <v>0</v>
      </c>
      <c r="AY338" s="18" t="s">
        <v>5569</v>
      </c>
      <c r="BG338" s="18" t="s">
        <v>5169</v>
      </c>
      <c r="BQ338" s="18">
        <f>9000/1000</f>
        <v>9</v>
      </c>
      <c r="BR338" s="18">
        <f>9000/1000</f>
        <v>9</v>
      </c>
      <c r="BS338" s="18">
        <v>0</v>
      </c>
      <c r="BT338" s="18">
        <v>0</v>
      </c>
      <c r="BU338" s="18">
        <v>0</v>
      </c>
      <c r="BV338" s="18">
        <f t="shared" si="19"/>
        <v>18</v>
      </c>
      <c r="BW338" s="15">
        <f t="shared" si="18"/>
        <v>18</v>
      </c>
      <c r="BY338" s="18" t="s">
        <v>5322</v>
      </c>
      <c r="BZ338" s="18" t="s">
        <v>5312</v>
      </c>
      <c r="CD338" s="18" t="s">
        <v>5127</v>
      </c>
      <c r="CE338" s="18" t="s">
        <v>5127</v>
      </c>
      <c r="CF338" s="18" t="s">
        <v>5135</v>
      </c>
      <c r="CG338" s="18" t="s">
        <v>6276</v>
      </c>
      <c r="CH338" s="18" t="s">
        <v>5137</v>
      </c>
      <c r="CI338" s="18" t="s">
        <v>111</v>
      </c>
      <c r="CJ338" s="18" t="s">
        <v>5680</v>
      </c>
      <c r="CK338" s="18" t="s">
        <v>179</v>
      </c>
      <c r="CL338" s="18">
        <v>1</v>
      </c>
      <c r="CM338" s="18">
        <v>0</v>
      </c>
      <c r="CN338" s="18">
        <v>0</v>
      </c>
      <c r="CO338" s="18">
        <v>1</v>
      </c>
      <c r="CP338" s="18">
        <v>3</v>
      </c>
      <c r="CQ338" s="18">
        <v>1</v>
      </c>
      <c r="CR338" s="18">
        <v>0</v>
      </c>
      <c r="CS338" s="18" t="s">
        <v>5141</v>
      </c>
      <c r="CT338" s="18">
        <v>1</v>
      </c>
      <c r="CU338" s="18">
        <v>0</v>
      </c>
      <c r="CV338" s="18">
        <v>0</v>
      </c>
      <c r="CX338" s="18">
        <v>0</v>
      </c>
      <c r="CY338" s="18">
        <v>0</v>
      </c>
      <c r="CZ338" s="18">
        <v>0</v>
      </c>
      <c r="DA338" s="18">
        <v>1</v>
      </c>
      <c r="DB338" s="18">
        <v>1</v>
      </c>
      <c r="DC338" s="18">
        <v>2</v>
      </c>
      <c r="DD338" s="18">
        <v>1</v>
      </c>
      <c r="DE338" s="18">
        <v>1</v>
      </c>
      <c r="DF338" s="18" t="s">
        <v>5141</v>
      </c>
      <c r="DG338" s="18">
        <v>1</v>
      </c>
      <c r="DH338" s="18">
        <v>0</v>
      </c>
      <c r="DI338" s="18">
        <v>2</v>
      </c>
      <c r="DK338" s="18">
        <v>1</v>
      </c>
      <c r="DL338" s="18">
        <v>1</v>
      </c>
      <c r="DM338" s="18" t="s">
        <v>5127</v>
      </c>
      <c r="DN338" s="18" t="s">
        <v>5172</v>
      </c>
      <c r="DO338" s="18" t="s">
        <v>5665</v>
      </c>
      <c r="DP338" s="18" t="s">
        <v>106</v>
      </c>
      <c r="DQ338" s="18" t="s">
        <v>5168</v>
      </c>
      <c r="DS338" s="18" t="s">
        <v>1365</v>
      </c>
      <c r="DT338" s="18">
        <v>1</v>
      </c>
      <c r="DU338" s="18">
        <v>2</v>
      </c>
      <c r="DV338" s="18" t="s">
        <v>5403</v>
      </c>
      <c r="DX338" s="18" t="s">
        <v>5222</v>
      </c>
      <c r="DY338" s="18" t="s">
        <v>106</v>
      </c>
      <c r="DZ338" s="18" t="s">
        <v>113</v>
      </c>
      <c r="EA338" s="18" t="s">
        <v>5146</v>
      </c>
      <c r="EB338" s="18" t="s">
        <v>1365</v>
      </c>
      <c r="EC338" s="18" t="s">
        <v>106</v>
      </c>
      <c r="ED338" s="18" t="s">
        <v>5176</v>
      </c>
      <c r="EE338" s="18" t="s">
        <v>106</v>
      </c>
      <c r="EF338" s="18" t="s">
        <v>113</v>
      </c>
      <c r="EG338" s="18" t="s">
        <v>5148</v>
      </c>
      <c r="EH338" s="18" t="s">
        <v>5149</v>
      </c>
      <c r="EI338" s="18" t="s">
        <v>5204</v>
      </c>
      <c r="EJ338" s="18" t="s">
        <v>5245</v>
      </c>
      <c r="EN338" s="18" t="s">
        <v>113</v>
      </c>
      <c r="EO338" s="18" t="s">
        <v>113</v>
      </c>
      <c r="EP338" s="18" t="s">
        <v>113</v>
      </c>
      <c r="EQ338" s="18" t="s">
        <v>113</v>
      </c>
      <c r="ER338" s="18" t="s">
        <v>5206</v>
      </c>
      <c r="ES338" s="18" t="s">
        <v>5153</v>
      </c>
      <c r="ET338" s="18" t="s">
        <v>5154</v>
      </c>
      <c r="EU338" s="18" t="s">
        <v>5155</v>
      </c>
      <c r="EV338" s="18" t="s">
        <v>6277</v>
      </c>
      <c r="EW338" s="18" t="s">
        <v>5406</v>
      </c>
      <c r="EX338" s="18" t="s">
        <v>5158</v>
      </c>
      <c r="EY338" s="18" t="s">
        <v>6060</v>
      </c>
      <c r="EZ338" s="18" t="s">
        <v>5182</v>
      </c>
      <c r="FA338" s="18" t="s">
        <v>144</v>
      </c>
      <c r="FB338" s="18" t="s">
        <v>5161</v>
      </c>
    </row>
    <row r="339" spans="1:158" ht="10.5" customHeight="1" x14ac:dyDescent="0.2">
      <c r="A339" s="16">
        <v>41</v>
      </c>
      <c r="B339" s="16" t="s">
        <v>3160</v>
      </c>
      <c r="C339" s="16" t="s">
        <v>3159</v>
      </c>
      <c r="D339" s="16">
        <v>24627</v>
      </c>
      <c r="E339" s="16" t="s">
        <v>6658</v>
      </c>
      <c r="F339" s="18" t="s">
        <v>3159</v>
      </c>
      <c r="G339" s="18" t="s">
        <v>106</v>
      </c>
      <c r="H339" s="15" t="s">
        <v>5127</v>
      </c>
      <c r="I339" s="18" t="s">
        <v>1657</v>
      </c>
      <c r="J339" s="18" t="s">
        <v>4819</v>
      </c>
      <c r="K339" s="18" t="s">
        <v>4819</v>
      </c>
      <c r="L339" s="18">
        <v>0</v>
      </c>
      <c r="M339" s="18" t="s">
        <v>5183</v>
      </c>
      <c r="N339" s="18" t="s">
        <v>6278</v>
      </c>
      <c r="T339" s="18" t="s">
        <v>6058</v>
      </c>
      <c r="U339" s="18" t="s">
        <v>5123</v>
      </c>
      <c r="V339" s="18" t="s">
        <v>113</v>
      </c>
      <c r="W339" s="18" t="s">
        <v>5211</v>
      </c>
      <c r="Y339" s="18" t="s">
        <v>5232</v>
      </c>
      <c r="Z339" s="18" t="s">
        <v>106</v>
      </c>
      <c r="AA339" s="18" t="s">
        <v>5163</v>
      </c>
      <c r="AB339" s="18" t="s">
        <v>179</v>
      </c>
      <c r="AC339" s="18" t="s">
        <v>5127</v>
      </c>
      <c r="AD339" s="18" t="s">
        <v>5127</v>
      </c>
      <c r="AE339" s="18" t="s">
        <v>5127</v>
      </c>
      <c r="AF339" s="18" t="s">
        <v>5127</v>
      </c>
      <c r="AG339" s="18" t="s">
        <v>5127</v>
      </c>
      <c r="AH339" s="18" t="s">
        <v>5127</v>
      </c>
      <c r="AI339" s="18">
        <v>1</v>
      </c>
      <c r="AK339" s="18" t="s">
        <v>5164</v>
      </c>
      <c r="AN339" s="18">
        <v>250</v>
      </c>
      <c r="AO339" s="18" t="s">
        <v>5165</v>
      </c>
      <c r="AP339" s="18" t="s">
        <v>6279</v>
      </c>
      <c r="AQ339" s="18" t="s">
        <v>5442</v>
      </c>
      <c r="AR339" s="18" t="s">
        <v>5168</v>
      </c>
      <c r="AT339" s="17">
        <f>(365*D339*0.7)/1000</f>
        <v>6292.1985000000004</v>
      </c>
      <c r="AU339" s="17">
        <f t="shared" si="17"/>
        <v>800</v>
      </c>
      <c r="AV339" s="18">
        <v>800</v>
      </c>
      <c r="AW339" s="18">
        <v>0</v>
      </c>
      <c r="AY339" s="18" t="s">
        <v>5334</v>
      </c>
      <c r="AZ339" s="18">
        <v>0</v>
      </c>
      <c r="BA339" s="18">
        <v>0</v>
      </c>
      <c r="BB339" s="18">
        <v>0</v>
      </c>
      <c r="BD339" s="18">
        <v>0</v>
      </c>
      <c r="BE339" s="18">
        <v>0</v>
      </c>
      <c r="BG339" s="18" t="s">
        <v>5375</v>
      </c>
      <c r="BH339" s="18">
        <v>0</v>
      </c>
      <c r="BI339" s="18">
        <v>0</v>
      </c>
      <c r="BJ339" s="18">
        <v>0</v>
      </c>
      <c r="BQ339" s="18">
        <v>120</v>
      </c>
      <c r="BR339" s="18">
        <v>120</v>
      </c>
      <c r="BS339" s="18">
        <v>5</v>
      </c>
      <c r="BT339" s="18">
        <v>4</v>
      </c>
      <c r="BU339" s="18">
        <v>1</v>
      </c>
      <c r="BV339" s="18">
        <f t="shared" si="19"/>
        <v>250</v>
      </c>
      <c r="BW339" s="15">
        <f t="shared" si="18"/>
        <v>250</v>
      </c>
      <c r="BY339" s="18" t="s">
        <v>5322</v>
      </c>
      <c r="BZ339" s="18" t="s">
        <v>5395</v>
      </c>
      <c r="CD339" s="18" t="s">
        <v>5127</v>
      </c>
      <c r="CE339" s="18" t="s">
        <v>5127</v>
      </c>
      <c r="CF339" s="18" t="s">
        <v>5135</v>
      </c>
      <c r="CG339" s="18" t="s">
        <v>6280</v>
      </c>
      <c r="CH339" s="18" t="s">
        <v>5137</v>
      </c>
      <c r="CI339" s="18" t="s">
        <v>111</v>
      </c>
      <c r="CJ339" s="18" t="s">
        <v>5680</v>
      </c>
      <c r="CK339" s="18" t="s">
        <v>5197</v>
      </c>
      <c r="CL339" s="18">
        <v>1</v>
      </c>
      <c r="CM339" s="18">
        <v>0</v>
      </c>
      <c r="CN339" s="18">
        <v>0</v>
      </c>
      <c r="CO339" s="18">
        <v>1</v>
      </c>
      <c r="CP339" s="18">
        <v>3</v>
      </c>
      <c r="CQ339" s="18">
        <v>1</v>
      </c>
      <c r="CR339" s="18">
        <v>0</v>
      </c>
      <c r="CS339" s="18" t="s">
        <v>5141</v>
      </c>
      <c r="CT339" s="18">
        <v>1</v>
      </c>
      <c r="CU339" s="18">
        <v>0</v>
      </c>
      <c r="CV339" s="18">
        <v>0</v>
      </c>
      <c r="CX339" s="18">
        <v>1</v>
      </c>
      <c r="CY339" s="18">
        <v>1</v>
      </c>
      <c r="CZ339" s="18">
        <v>1</v>
      </c>
      <c r="DA339" s="18">
        <v>2</v>
      </c>
      <c r="DB339" s="18">
        <v>2</v>
      </c>
      <c r="DC339" s="18">
        <v>2</v>
      </c>
      <c r="DD339" s="18">
        <v>1</v>
      </c>
      <c r="DE339" s="18">
        <v>5</v>
      </c>
      <c r="DF339" s="18" t="s">
        <v>5141</v>
      </c>
      <c r="DG339" s="18">
        <v>1</v>
      </c>
      <c r="DH339" s="18">
        <v>3</v>
      </c>
      <c r="DI339" s="18">
        <v>2</v>
      </c>
      <c r="DK339" s="18">
        <v>0</v>
      </c>
      <c r="DL339" s="18">
        <v>1</v>
      </c>
      <c r="DM339" s="18" t="s">
        <v>5127</v>
      </c>
      <c r="DN339" s="18" t="s">
        <v>5172</v>
      </c>
      <c r="DO339" s="18" t="s">
        <v>5705</v>
      </c>
      <c r="DP339" s="18" t="s">
        <v>106</v>
      </c>
      <c r="DQ339" s="18" t="s">
        <v>5168</v>
      </c>
      <c r="DS339" s="18">
        <v>0</v>
      </c>
      <c r="DT339" s="18">
        <v>1</v>
      </c>
      <c r="DU339" s="18">
        <v>2</v>
      </c>
      <c r="DV339" s="18" t="s">
        <v>5342</v>
      </c>
      <c r="DX339" s="18" t="s">
        <v>5222</v>
      </c>
      <c r="DY339" s="18" t="s">
        <v>106</v>
      </c>
      <c r="DZ339" s="18" t="s">
        <v>113</v>
      </c>
      <c r="EA339" s="18" t="s">
        <v>5202</v>
      </c>
      <c r="EB339" s="18">
        <v>250</v>
      </c>
      <c r="EC339" s="18" t="s">
        <v>106</v>
      </c>
      <c r="ED339" s="18" t="s">
        <v>5176</v>
      </c>
      <c r="EE339" s="18" t="s">
        <v>113</v>
      </c>
      <c r="EF339" s="18" t="s">
        <v>113</v>
      </c>
      <c r="EG339" s="18" t="s">
        <v>5148</v>
      </c>
      <c r="EH339" s="18" t="s">
        <v>5149</v>
      </c>
      <c r="EI339" s="18" t="s">
        <v>5204</v>
      </c>
      <c r="EJ339" s="18" t="s">
        <v>5387</v>
      </c>
      <c r="EK339" s="18" t="s">
        <v>113</v>
      </c>
      <c r="EM339" s="18" t="s">
        <v>5227</v>
      </c>
      <c r="EN339" s="18" t="s">
        <v>113</v>
      </c>
      <c r="EO339" s="18" t="s">
        <v>113</v>
      </c>
      <c r="EP339" s="18" t="s">
        <v>113</v>
      </c>
      <c r="EQ339" s="18" t="s">
        <v>113</v>
      </c>
      <c r="ER339" s="18" t="s">
        <v>5206</v>
      </c>
      <c r="ES339" s="18" t="s">
        <v>5153</v>
      </c>
      <c r="ET339" s="18" t="s">
        <v>5154</v>
      </c>
      <c r="EU339" s="18" t="s">
        <v>5155</v>
      </c>
      <c r="EV339" s="18" t="s">
        <v>5629</v>
      </c>
      <c r="EW339" s="18" t="s">
        <v>5406</v>
      </c>
      <c r="EX339" s="18" t="s">
        <v>5158</v>
      </c>
      <c r="EY339" s="18" t="s">
        <v>5248</v>
      </c>
      <c r="EZ339" s="18" t="s">
        <v>5182</v>
      </c>
      <c r="FA339" s="18" t="s">
        <v>144</v>
      </c>
      <c r="FB339" s="18" t="s">
        <v>5161</v>
      </c>
    </row>
    <row r="340" spans="1:158" ht="10.5" customHeight="1" x14ac:dyDescent="0.2">
      <c r="A340" s="16">
        <v>41</v>
      </c>
      <c r="B340" s="16" t="s">
        <v>3170</v>
      </c>
      <c r="C340" s="16" t="s">
        <v>3169</v>
      </c>
      <c r="D340" s="16">
        <v>3206</v>
      </c>
      <c r="E340" s="16" t="s">
        <v>6656</v>
      </c>
      <c r="H340" s="15" t="s">
        <v>6661</v>
      </c>
      <c r="AT340" s="17">
        <f>(365*D340*0.7)/1000</f>
        <v>819.13300000000004</v>
      </c>
      <c r="AU340" s="17">
        <f t="shared" si="17"/>
        <v>0</v>
      </c>
      <c r="BW340" s="15">
        <f t="shared" si="18"/>
        <v>0</v>
      </c>
    </row>
    <row r="341" spans="1:158" ht="10.5" customHeight="1" x14ac:dyDescent="0.2">
      <c r="A341" s="16">
        <v>41</v>
      </c>
      <c r="B341" s="16" t="s">
        <v>3179</v>
      </c>
      <c r="C341" s="16" t="s">
        <v>3178</v>
      </c>
      <c r="D341" s="16">
        <v>7031</v>
      </c>
      <c r="E341" s="16" t="s">
        <v>6656</v>
      </c>
      <c r="F341" s="18" t="s">
        <v>3178</v>
      </c>
      <c r="G341" s="18" t="s">
        <v>106</v>
      </c>
      <c r="H341" s="15" t="s">
        <v>5127</v>
      </c>
      <c r="I341" s="18">
        <v>11</v>
      </c>
      <c r="J341" s="18">
        <v>5</v>
      </c>
      <c r="K341" s="18">
        <v>6</v>
      </c>
      <c r="L341" s="18">
        <v>0</v>
      </c>
      <c r="M341" s="18" t="s">
        <v>5183</v>
      </c>
      <c r="N341" s="18" t="s">
        <v>6281</v>
      </c>
      <c r="O341" s="18">
        <v>46586</v>
      </c>
      <c r="T341" s="18" t="s">
        <v>111</v>
      </c>
      <c r="U341" s="18" t="s">
        <v>5185</v>
      </c>
      <c r="V341" s="18" t="s">
        <v>106</v>
      </c>
      <c r="W341" s="18" t="s">
        <v>5211</v>
      </c>
      <c r="Y341" s="18" t="s">
        <v>5162</v>
      </c>
      <c r="Z341" s="18" t="s">
        <v>106</v>
      </c>
      <c r="AA341" s="18" t="s">
        <v>5163</v>
      </c>
      <c r="AC341" s="18" t="s">
        <v>5127</v>
      </c>
      <c r="AD341" s="18" t="s">
        <v>5127</v>
      </c>
      <c r="AE341" s="18" t="s">
        <v>5127</v>
      </c>
      <c r="AF341" s="18" t="s">
        <v>5127</v>
      </c>
      <c r="AG341" s="18" t="s">
        <v>5127</v>
      </c>
      <c r="AH341" s="18" t="s">
        <v>111</v>
      </c>
      <c r="AI341" s="18">
        <v>1</v>
      </c>
      <c r="AK341" s="18" t="s">
        <v>5164</v>
      </c>
      <c r="AN341" s="18">
        <v>0</v>
      </c>
      <c r="AO341" s="18" t="s">
        <v>5186</v>
      </c>
      <c r="AP341" s="18" t="s">
        <v>6282</v>
      </c>
      <c r="AQ341" s="18" t="s">
        <v>164</v>
      </c>
      <c r="AR341" s="18" t="s">
        <v>5132</v>
      </c>
      <c r="AT341" s="17">
        <f>(365*D341*0.7)/1000</f>
        <v>1796.4204999999999</v>
      </c>
      <c r="AU341" s="17">
        <f t="shared" si="17"/>
        <v>0</v>
      </c>
      <c r="AV341" s="18">
        <v>0</v>
      </c>
      <c r="AW341" s="18">
        <v>0</v>
      </c>
      <c r="AY341" s="18" t="s">
        <v>164</v>
      </c>
      <c r="BD341" s="18">
        <f>500/1000</f>
        <v>0.5</v>
      </c>
      <c r="BG341" s="18" t="s">
        <v>164</v>
      </c>
      <c r="BQ341" s="18">
        <v>30</v>
      </c>
      <c r="BR341" s="18">
        <v>22</v>
      </c>
      <c r="BS341" s="18">
        <v>17</v>
      </c>
      <c r="BT341" s="18">
        <v>12</v>
      </c>
      <c r="BU341" s="18">
        <v>0</v>
      </c>
      <c r="BV341" s="18">
        <v>81</v>
      </c>
      <c r="BW341" s="15">
        <f t="shared" si="18"/>
        <v>81</v>
      </c>
      <c r="BY341" s="18" t="s">
        <v>5134</v>
      </c>
      <c r="BZ341" s="18" t="s">
        <v>5240</v>
      </c>
      <c r="CD341" s="18" t="s">
        <v>5127</v>
      </c>
      <c r="CE341" s="18" t="s">
        <v>5127</v>
      </c>
      <c r="CF341" s="18" t="s">
        <v>5135</v>
      </c>
      <c r="CG341" s="18" t="s">
        <v>6283</v>
      </c>
      <c r="CH341" s="18" t="s">
        <v>5194</v>
      </c>
      <c r="CI341" s="18" t="s">
        <v>5138</v>
      </c>
      <c r="CJ341" s="18" t="s">
        <v>5196</v>
      </c>
      <c r="CK341" s="18" t="s">
        <v>5341</v>
      </c>
      <c r="CL341" s="18">
        <v>1</v>
      </c>
      <c r="CM341" s="18">
        <v>0</v>
      </c>
      <c r="CN341" s="18">
        <v>0</v>
      </c>
      <c r="CO341" s="18">
        <v>1</v>
      </c>
      <c r="CP341" s="18">
        <v>1</v>
      </c>
      <c r="CQ341" s="18">
        <v>0</v>
      </c>
      <c r="CR341" s="18">
        <v>0</v>
      </c>
      <c r="CS341" s="18" t="s">
        <v>5141</v>
      </c>
      <c r="CT341" s="18">
        <v>1</v>
      </c>
      <c r="CU341" s="18">
        <v>0</v>
      </c>
      <c r="CV341" s="18" t="s">
        <v>5141</v>
      </c>
      <c r="CX341" s="18">
        <v>0</v>
      </c>
      <c r="CY341" s="18">
        <v>0</v>
      </c>
      <c r="CZ341" s="18">
        <v>0</v>
      </c>
      <c r="DA341" s="18">
        <v>0</v>
      </c>
      <c r="DB341" s="18">
        <v>0</v>
      </c>
      <c r="DC341" s="18">
        <v>0</v>
      </c>
      <c r="DD341" s="18">
        <v>1</v>
      </c>
      <c r="DE341" s="18" t="s">
        <v>5141</v>
      </c>
      <c r="DF341" s="18">
        <v>0</v>
      </c>
      <c r="DG341" s="18">
        <v>0</v>
      </c>
      <c r="DH341" s="18">
        <v>0</v>
      </c>
      <c r="DI341" s="18">
        <v>0</v>
      </c>
      <c r="DK341" s="18">
        <v>0</v>
      </c>
      <c r="DL341" s="18">
        <v>0</v>
      </c>
      <c r="DM341" s="18" t="s">
        <v>5127</v>
      </c>
      <c r="DN341" s="18" t="s">
        <v>5258</v>
      </c>
      <c r="DO341" s="18" t="s">
        <v>5199</v>
      </c>
      <c r="DP341" s="18" t="s">
        <v>113</v>
      </c>
      <c r="DS341" s="18">
        <v>0</v>
      </c>
      <c r="DT341" s="18">
        <v>1</v>
      </c>
      <c r="DU341" s="18">
        <v>0</v>
      </c>
      <c r="DV341" s="18" t="s">
        <v>5174</v>
      </c>
      <c r="DX341" s="18" t="s">
        <v>5201</v>
      </c>
      <c r="DY341" s="18" t="s">
        <v>106</v>
      </c>
      <c r="DZ341" s="18" t="s">
        <v>113</v>
      </c>
      <c r="EA341" s="18" t="s">
        <v>5285</v>
      </c>
      <c r="EB341" s="18">
        <v>0</v>
      </c>
      <c r="EC341" s="18" t="s">
        <v>106</v>
      </c>
      <c r="ED341" s="18" t="s">
        <v>5176</v>
      </c>
      <c r="EE341" s="18" t="s">
        <v>106</v>
      </c>
      <c r="EG341" s="18" t="s">
        <v>5148</v>
      </c>
      <c r="EH341" s="18" t="s">
        <v>5203</v>
      </c>
      <c r="EI341" s="18" t="s">
        <v>5204</v>
      </c>
      <c r="EJ341" s="18" t="s">
        <v>5445</v>
      </c>
      <c r="EN341" s="18" t="s">
        <v>113</v>
      </c>
      <c r="EO341" s="18" t="s">
        <v>113</v>
      </c>
      <c r="EP341" s="18" t="s">
        <v>113</v>
      </c>
      <c r="EQ341" s="18" t="s">
        <v>113</v>
      </c>
      <c r="ER341" s="18" t="s">
        <v>5206</v>
      </c>
      <c r="ES341" s="18" t="s">
        <v>5153</v>
      </c>
      <c r="ET341" s="18" t="s">
        <v>5154</v>
      </c>
      <c r="EU341" s="18" t="s">
        <v>5155</v>
      </c>
      <c r="EV341" s="18" t="s">
        <v>5626</v>
      </c>
      <c r="EW341" s="18" t="s">
        <v>6166</v>
      </c>
      <c r="EX341" s="18" t="s">
        <v>5158</v>
      </c>
      <c r="EY341" s="18" t="s">
        <v>5229</v>
      </c>
      <c r="FA341" s="18" t="s">
        <v>144</v>
      </c>
      <c r="FB341" s="18" t="s">
        <v>5161</v>
      </c>
    </row>
    <row r="342" spans="1:158" ht="10.5" customHeight="1" x14ac:dyDescent="0.2">
      <c r="A342" s="16">
        <v>41</v>
      </c>
      <c r="B342" s="16" t="s">
        <v>3195</v>
      </c>
      <c r="C342" s="16" t="s">
        <v>3194</v>
      </c>
      <c r="D342" s="16">
        <v>48207</v>
      </c>
      <c r="E342" s="16" t="s">
        <v>6658</v>
      </c>
      <c r="F342" s="18" t="s">
        <v>3194</v>
      </c>
      <c r="G342" s="18" t="s">
        <v>106</v>
      </c>
      <c r="H342" s="15" t="s">
        <v>5127</v>
      </c>
      <c r="I342" s="18">
        <v>12</v>
      </c>
      <c r="J342" s="18">
        <v>5</v>
      </c>
      <c r="K342" s="18">
        <v>7</v>
      </c>
      <c r="L342" s="18">
        <v>0</v>
      </c>
      <c r="M342" s="18" t="s">
        <v>5230</v>
      </c>
      <c r="N342" s="18">
        <v>144890763</v>
      </c>
      <c r="O342" s="18">
        <v>45876</v>
      </c>
      <c r="T342" s="18" t="s">
        <v>5546</v>
      </c>
      <c r="U342" s="18" t="s">
        <v>5250</v>
      </c>
      <c r="V342" s="18" t="s">
        <v>106</v>
      </c>
      <c r="W342" s="18" t="s">
        <v>5124</v>
      </c>
      <c r="Y342" s="18" t="s">
        <v>5232</v>
      </c>
      <c r="Z342" s="18" t="s">
        <v>106</v>
      </c>
      <c r="AA342" s="18" t="s">
        <v>5163</v>
      </c>
      <c r="AB342" s="18" t="s">
        <v>5233</v>
      </c>
      <c r="AC342" s="18" t="s">
        <v>111</v>
      </c>
      <c r="AD342" s="18" t="s">
        <v>5127</v>
      </c>
      <c r="AE342" s="18" t="s">
        <v>111</v>
      </c>
      <c r="AF342" s="18" t="s">
        <v>111</v>
      </c>
      <c r="AG342" s="18" t="s">
        <v>5127</v>
      </c>
      <c r="AH342" s="18" t="s">
        <v>111</v>
      </c>
      <c r="AI342" s="18">
        <v>1</v>
      </c>
      <c r="AK342" s="18" t="s">
        <v>5164</v>
      </c>
      <c r="AN342" s="18">
        <v>0</v>
      </c>
      <c r="AO342" s="18" t="s">
        <v>5129</v>
      </c>
      <c r="AP342" s="18" t="s">
        <v>6284</v>
      </c>
      <c r="AQ342" s="18" t="s">
        <v>5252</v>
      </c>
      <c r="AR342" s="18" t="s">
        <v>179</v>
      </c>
      <c r="AT342" s="17">
        <f>(365*D342*0.7)/1000</f>
        <v>12316.888499999999</v>
      </c>
      <c r="AU342" s="17">
        <f t="shared" si="17"/>
        <v>0.1</v>
      </c>
      <c r="AV342" s="18">
        <v>0.1</v>
      </c>
      <c r="AW342" s="18">
        <v>0</v>
      </c>
      <c r="AY342" s="18" t="s">
        <v>5334</v>
      </c>
      <c r="BG342" s="18" t="s">
        <v>5169</v>
      </c>
      <c r="BH342" s="18">
        <v>1</v>
      </c>
      <c r="BQ342" s="18">
        <f>133380/1000</f>
        <v>133.38</v>
      </c>
      <c r="BR342" s="18">
        <f>134500/1000</f>
        <v>134.5</v>
      </c>
      <c r="BS342" s="18">
        <f>200105/1000</f>
        <v>200.10499999999999</v>
      </c>
      <c r="BT342" s="18">
        <v>125.2</v>
      </c>
      <c r="BU342" s="18">
        <v>127</v>
      </c>
      <c r="BV342" s="18">
        <f>SUM(BQ342:BU342)</f>
        <v>720.18500000000006</v>
      </c>
      <c r="BW342" s="15">
        <f t="shared" si="18"/>
        <v>720.18500000000006</v>
      </c>
      <c r="BY342" s="18" t="s">
        <v>5134</v>
      </c>
      <c r="BZ342" s="18" t="s">
        <v>5688</v>
      </c>
      <c r="CD342" s="18" t="s">
        <v>5127</v>
      </c>
      <c r="CE342" s="18" t="s">
        <v>111</v>
      </c>
      <c r="CF342" s="18" t="s">
        <v>5135</v>
      </c>
      <c r="CG342" s="18" t="s">
        <v>6283</v>
      </c>
      <c r="CH342" s="18" t="s">
        <v>111</v>
      </c>
      <c r="CI342" s="18" t="s">
        <v>5138</v>
      </c>
      <c r="CJ342" s="18" t="s">
        <v>5139</v>
      </c>
      <c r="CK342" s="18" t="s">
        <v>5197</v>
      </c>
      <c r="CL342" s="18">
        <v>0</v>
      </c>
      <c r="CM342" s="18">
        <v>1</v>
      </c>
      <c r="CN342" s="18">
        <v>0</v>
      </c>
      <c r="CO342" s="18">
        <v>1</v>
      </c>
      <c r="CP342" s="18">
        <v>1</v>
      </c>
      <c r="CQ342" s="18">
        <v>1</v>
      </c>
      <c r="CR342" s="18">
        <v>0</v>
      </c>
      <c r="CS342" s="18">
        <v>1</v>
      </c>
      <c r="CT342" s="18" t="s">
        <v>5358</v>
      </c>
      <c r="CU342" s="18">
        <v>0</v>
      </c>
      <c r="CV342" s="18">
        <v>0</v>
      </c>
      <c r="CX342" s="18">
        <v>1</v>
      </c>
      <c r="CY342" s="18">
        <v>1</v>
      </c>
      <c r="CZ342" s="18">
        <v>0</v>
      </c>
      <c r="DA342" s="18">
        <v>1</v>
      </c>
      <c r="DB342" s="18">
        <v>1</v>
      </c>
      <c r="DC342" s="18">
        <v>1</v>
      </c>
      <c r="DD342" s="18">
        <v>0</v>
      </c>
      <c r="DE342" s="18">
        <v>0</v>
      </c>
      <c r="DF342" s="18">
        <v>0</v>
      </c>
      <c r="DG342" s="18">
        <v>0</v>
      </c>
      <c r="DH342" s="18">
        <v>0</v>
      </c>
      <c r="DI342" s="18">
        <v>1</v>
      </c>
      <c r="DK342" s="18">
        <v>1</v>
      </c>
      <c r="DL342" s="18">
        <v>1</v>
      </c>
      <c r="DM342" s="18" t="s">
        <v>5127</v>
      </c>
      <c r="DN342" s="18" t="s">
        <v>5172</v>
      </c>
      <c r="DO342" s="18" t="s">
        <v>5259</v>
      </c>
      <c r="DP342" s="18" t="s">
        <v>106</v>
      </c>
      <c r="DQ342" s="18" t="s">
        <v>179</v>
      </c>
      <c r="DS342" s="18">
        <v>0</v>
      </c>
      <c r="DT342" s="18">
        <v>1</v>
      </c>
      <c r="DU342" s="18">
        <v>0</v>
      </c>
      <c r="DV342" s="18" t="s">
        <v>5272</v>
      </c>
      <c r="DX342" s="18" t="s">
        <v>5222</v>
      </c>
      <c r="DY342" s="18" t="s">
        <v>106</v>
      </c>
      <c r="DZ342" s="18" t="s">
        <v>113</v>
      </c>
      <c r="EA342" s="18" t="s">
        <v>5146</v>
      </c>
      <c r="EB342" s="18">
        <v>463000</v>
      </c>
      <c r="EC342" s="18" t="s">
        <v>106</v>
      </c>
      <c r="ED342" s="18" t="s">
        <v>5147</v>
      </c>
      <c r="EE342" s="18" t="s">
        <v>113</v>
      </c>
      <c r="EF342" s="18" t="s">
        <v>113</v>
      </c>
      <c r="EG342" s="18" t="s">
        <v>5148</v>
      </c>
      <c r="EH342" s="18" t="s">
        <v>5203</v>
      </c>
      <c r="EI342" s="18" t="s">
        <v>5204</v>
      </c>
      <c r="EJ342" s="18" t="s">
        <v>5521</v>
      </c>
      <c r="EK342" s="18" t="s">
        <v>113</v>
      </c>
      <c r="EM342" s="18" t="s">
        <v>5274</v>
      </c>
      <c r="EN342" s="18" t="s">
        <v>113</v>
      </c>
      <c r="EO342" s="18" t="s">
        <v>113</v>
      </c>
      <c r="EP342" s="18" t="s">
        <v>113</v>
      </c>
      <c r="EQ342" s="18" t="s">
        <v>113</v>
      </c>
      <c r="ER342" s="18" t="s">
        <v>5152</v>
      </c>
      <c r="ES342" s="18" t="s">
        <v>5153</v>
      </c>
      <c r="ET342" s="18" t="s">
        <v>5154</v>
      </c>
      <c r="EU342" s="18" t="s">
        <v>5155</v>
      </c>
      <c r="EV342" s="18" t="s">
        <v>5608</v>
      </c>
      <c r="EW342" s="18" t="s">
        <v>6285</v>
      </c>
      <c r="EX342" s="18" t="s">
        <v>5158</v>
      </c>
      <c r="EY342" s="18" t="s">
        <v>5229</v>
      </c>
      <c r="EZ342" s="18" t="s">
        <v>5160</v>
      </c>
      <c r="FA342" s="18" t="s">
        <v>144</v>
      </c>
      <c r="FB342" s="18" t="s">
        <v>5161</v>
      </c>
    </row>
    <row r="343" spans="1:158" ht="10.5" customHeight="1" x14ac:dyDescent="0.2">
      <c r="A343" s="16">
        <v>41</v>
      </c>
      <c r="B343" s="16" t="s">
        <v>3214</v>
      </c>
      <c r="C343" s="16" t="s">
        <v>3213</v>
      </c>
      <c r="D343" s="16">
        <v>49891</v>
      </c>
      <c r="E343" s="16" t="s">
        <v>6658</v>
      </c>
      <c r="F343" s="18" t="s">
        <v>3213</v>
      </c>
      <c r="G343" s="18" t="s">
        <v>106</v>
      </c>
      <c r="H343" s="15" t="s">
        <v>5127</v>
      </c>
      <c r="I343" s="18">
        <v>14</v>
      </c>
      <c r="J343" s="18" t="s">
        <v>2993</v>
      </c>
      <c r="K343" s="18" t="s">
        <v>2511</v>
      </c>
      <c r="L343" s="18">
        <v>0</v>
      </c>
      <c r="M343" s="18" t="s">
        <v>5183</v>
      </c>
      <c r="N343" s="18" t="s">
        <v>115</v>
      </c>
      <c r="T343" s="18" t="s">
        <v>111</v>
      </c>
      <c r="U343" s="18" t="s">
        <v>5250</v>
      </c>
      <c r="V343" s="18" t="s">
        <v>113</v>
      </c>
      <c r="W343" s="18" t="s">
        <v>5124</v>
      </c>
      <c r="Y343" s="18" t="s">
        <v>5162</v>
      </c>
      <c r="Z343" s="18" t="s">
        <v>106</v>
      </c>
      <c r="AA343" s="18" t="s">
        <v>5267</v>
      </c>
      <c r="AC343" s="18" t="s">
        <v>111</v>
      </c>
      <c r="AD343" s="18" t="s">
        <v>5127</v>
      </c>
      <c r="AE343" s="18" t="s">
        <v>5127</v>
      </c>
      <c r="AF343" s="18" t="s">
        <v>5127</v>
      </c>
      <c r="AG343" s="18" t="s">
        <v>5127</v>
      </c>
      <c r="AH343" s="18" t="s">
        <v>5127</v>
      </c>
      <c r="AI343" s="18">
        <v>1</v>
      </c>
      <c r="AK343" s="18" t="s">
        <v>5424</v>
      </c>
      <c r="AN343" s="18">
        <v>272</v>
      </c>
      <c r="AO343" s="18" t="s">
        <v>5165</v>
      </c>
      <c r="AP343" s="18" t="s">
        <v>6286</v>
      </c>
      <c r="AQ343" s="18" t="s">
        <v>5826</v>
      </c>
      <c r="AR343" s="18" t="s">
        <v>5168</v>
      </c>
      <c r="AT343" s="17">
        <f>(365*D343*0.7)/1000</f>
        <v>12747.1505</v>
      </c>
      <c r="AU343" s="17">
        <f t="shared" si="17"/>
        <v>103</v>
      </c>
      <c r="AV343" s="18">
        <v>103</v>
      </c>
      <c r="AW343" s="18">
        <v>0</v>
      </c>
      <c r="AY343" s="18" t="s">
        <v>164</v>
      </c>
      <c r="BG343" s="18" t="s">
        <v>5238</v>
      </c>
      <c r="BQ343" s="18">
        <v>71</v>
      </c>
      <c r="BR343" s="18">
        <v>56</v>
      </c>
      <c r="BS343" s="18">
        <v>21</v>
      </c>
      <c r="BT343" s="18">
        <v>21</v>
      </c>
      <c r="BU343" s="18">
        <v>1</v>
      </c>
      <c r="BV343" s="18">
        <v>170</v>
      </c>
      <c r="BW343" s="15">
        <f t="shared" si="18"/>
        <v>170</v>
      </c>
      <c r="BY343" s="18" t="s">
        <v>5134</v>
      </c>
      <c r="BZ343" s="18" t="s">
        <v>193</v>
      </c>
      <c r="CD343" s="18" t="s">
        <v>5127</v>
      </c>
      <c r="CE343" s="18" t="s">
        <v>5127</v>
      </c>
      <c r="CF343" s="18" t="s">
        <v>5135</v>
      </c>
      <c r="CG343" s="18" t="s">
        <v>6287</v>
      </c>
      <c r="CH343" s="18" t="s">
        <v>5241</v>
      </c>
      <c r="CI343" s="18" t="s">
        <v>5138</v>
      </c>
      <c r="CJ343" s="18" t="s">
        <v>5139</v>
      </c>
      <c r="CK343" s="18" t="s">
        <v>5256</v>
      </c>
      <c r="CL343" s="18">
        <v>2</v>
      </c>
      <c r="CM343" s="18">
        <v>0</v>
      </c>
      <c r="CN343" s="18">
        <v>0</v>
      </c>
      <c r="CO343" s="18">
        <v>1</v>
      </c>
      <c r="CP343" s="18">
        <v>1</v>
      </c>
      <c r="CQ343" s="18">
        <v>1</v>
      </c>
      <c r="CR343" s="18" t="s">
        <v>5141</v>
      </c>
      <c r="CS343" s="18" t="s">
        <v>5141</v>
      </c>
      <c r="CT343" s="18">
        <v>1</v>
      </c>
      <c r="CU343" s="18">
        <v>0</v>
      </c>
      <c r="CV343" s="18">
        <v>1</v>
      </c>
      <c r="CX343" s="18">
        <v>0</v>
      </c>
      <c r="CY343" s="18">
        <v>0</v>
      </c>
      <c r="CZ343" s="18">
        <v>0</v>
      </c>
      <c r="DA343" s="18">
        <v>1</v>
      </c>
      <c r="DB343" s="18">
        <v>1</v>
      </c>
      <c r="DC343" s="18">
        <v>0</v>
      </c>
      <c r="DD343" s="18">
        <v>1</v>
      </c>
      <c r="DE343" s="18">
        <v>0</v>
      </c>
      <c r="DF343" s="18" t="s">
        <v>5141</v>
      </c>
      <c r="DG343" s="18">
        <v>0</v>
      </c>
      <c r="DH343" s="18">
        <v>1</v>
      </c>
      <c r="DI343" s="18">
        <v>1</v>
      </c>
      <c r="DK343" s="18">
        <v>0</v>
      </c>
      <c r="DL343" s="18">
        <v>0</v>
      </c>
      <c r="DM343" s="18" t="s">
        <v>5127</v>
      </c>
      <c r="DN343" s="18" t="s">
        <v>5258</v>
      </c>
      <c r="DO343" s="18" t="s">
        <v>5371</v>
      </c>
      <c r="DP343" s="18" t="s">
        <v>113</v>
      </c>
      <c r="DS343" s="18">
        <v>0</v>
      </c>
      <c r="DT343" s="18">
        <v>0</v>
      </c>
      <c r="DU343" s="18">
        <v>1</v>
      </c>
      <c r="DV343" s="18" t="s">
        <v>5444</v>
      </c>
      <c r="DX343" s="18" t="s">
        <v>5145</v>
      </c>
      <c r="DY343" s="18" t="s">
        <v>106</v>
      </c>
      <c r="DZ343" s="18" t="s">
        <v>113</v>
      </c>
      <c r="EA343" s="18" t="s">
        <v>5202</v>
      </c>
      <c r="EB343" s="18">
        <v>170</v>
      </c>
      <c r="EC343" s="18" t="s">
        <v>106</v>
      </c>
      <c r="ED343" s="18" t="s">
        <v>5176</v>
      </c>
      <c r="EE343" s="18" t="s">
        <v>113</v>
      </c>
      <c r="EF343" s="18" t="s">
        <v>113</v>
      </c>
      <c r="EG343" s="18" t="s">
        <v>5326</v>
      </c>
      <c r="EH343" s="18" t="s">
        <v>5203</v>
      </c>
      <c r="EI343" s="18" t="s">
        <v>5204</v>
      </c>
      <c r="EJ343" s="18" t="s">
        <v>5316</v>
      </c>
      <c r="EN343" s="18" t="s">
        <v>113</v>
      </c>
      <c r="EO343" s="18" t="s">
        <v>113</v>
      </c>
      <c r="EP343" s="18" t="s">
        <v>113</v>
      </c>
      <c r="EQ343" s="18" t="s">
        <v>113</v>
      </c>
      <c r="ER343" s="18" t="s">
        <v>5206</v>
      </c>
      <c r="ES343" s="18" t="s">
        <v>5153</v>
      </c>
      <c r="ET343" s="18" t="s">
        <v>5154</v>
      </c>
      <c r="EU343" s="18" t="s">
        <v>5318</v>
      </c>
      <c r="EV343" s="18" t="s">
        <v>5515</v>
      </c>
      <c r="EW343" s="18" t="s">
        <v>5975</v>
      </c>
      <c r="EX343" s="18" t="s">
        <v>5158</v>
      </c>
      <c r="EY343" s="18" t="s">
        <v>5248</v>
      </c>
      <c r="EZ343" s="18" t="s">
        <v>5160</v>
      </c>
      <c r="FA343" s="18" t="s">
        <v>144</v>
      </c>
      <c r="FB343" s="18" t="s">
        <v>5161</v>
      </c>
    </row>
    <row r="344" spans="1:158" ht="10.5" customHeight="1" x14ac:dyDescent="0.2">
      <c r="A344" s="16">
        <v>41</v>
      </c>
      <c r="B344" s="16" t="s">
        <v>3223</v>
      </c>
      <c r="C344" s="16" t="s">
        <v>3222</v>
      </c>
      <c r="D344" s="16">
        <v>34806</v>
      </c>
      <c r="E344" s="16" t="s">
        <v>6658</v>
      </c>
      <c r="F344" s="18" t="s">
        <v>3222</v>
      </c>
      <c r="G344" s="18" t="s">
        <v>113</v>
      </c>
      <c r="H344" s="15" t="s">
        <v>111</v>
      </c>
      <c r="AT344" s="17">
        <f>(365*D344*0.7)/1000</f>
        <v>8892.9330000000009</v>
      </c>
      <c r="AU344" s="17">
        <f t="shared" si="17"/>
        <v>0</v>
      </c>
      <c r="BW344" s="15">
        <f t="shared" si="18"/>
        <v>0</v>
      </c>
    </row>
    <row r="345" spans="1:158" ht="10.5" customHeight="1" x14ac:dyDescent="0.2">
      <c r="A345" s="16">
        <v>41</v>
      </c>
      <c r="B345" s="16" t="s">
        <v>3231</v>
      </c>
      <c r="C345" s="16" t="s">
        <v>3230</v>
      </c>
      <c r="D345" s="16">
        <v>12967</v>
      </c>
      <c r="E345" s="16" t="s">
        <v>6656</v>
      </c>
      <c r="F345" s="18" t="s">
        <v>3230</v>
      </c>
      <c r="G345" s="18" t="s">
        <v>106</v>
      </c>
      <c r="H345" s="15" t="s">
        <v>5127</v>
      </c>
      <c r="I345" s="18">
        <v>18</v>
      </c>
      <c r="J345" s="18">
        <v>6</v>
      </c>
      <c r="K345" s="18">
        <v>12</v>
      </c>
      <c r="L345" s="18">
        <v>0</v>
      </c>
      <c r="M345" s="18" t="s">
        <v>5183</v>
      </c>
      <c r="N345" s="18">
        <v>0</v>
      </c>
      <c r="O345" s="18">
        <v>45755</v>
      </c>
      <c r="T345" s="18" t="s">
        <v>111</v>
      </c>
      <c r="U345" s="18" t="s">
        <v>5123</v>
      </c>
      <c r="V345" s="18" t="s">
        <v>113</v>
      </c>
      <c r="W345" s="18" t="s">
        <v>5211</v>
      </c>
      <c r="Y345" s="18" t="s">
        <v>5407</v>
      </c>
      <c r="Z345" s="18" t="s">
        <v>106</v>
      </c>
      <c r="AA345" s="18" t="s">
        <v>5163</v>
      </c>
      <c r="AB345" s="18" t="s">
        <v>179</v>
      </c>
      <c r="AC345" s="18" t="s">
        <v>111</v>
      </c>
      <c r="AD345" s="18" t="s">
        <v>5127</v>
      </c>
      <c r="AE345" s="18" t="s">
        <v>111</v>
      </c>
      <c r="AF345" s="18" t="s">
        <v>111</v>
      </c>
      <c r="AG345" s="18" t="s">
        <v>5127</v>
      </c>
      <c r="AH345" s="18" t="s">
        <v>5127</v>
      </c>
      <c r="AI345" s="18">
        <v>2</v>
      </c>
      <c r="AK345" s="18" t="s">
        <v>5164</v>
      </c>
      <c r="AN345" s="18">
        <v>126000</v>
      </c>
      <c r="AO345" s="18" t="s">
        <v>5186</v>
      </c>
      <c r="AP345" s="18" t="s">
        <v>6288</v>
      </c>
      <c r="AQ345" s="18" t="s">
        <v>5606</v>
      </c>
      <c r="AR345" s="18" t="s">
        <v>5132</v>
      </c>
      <c r="AT345" s="17">
        <f>(365*D345*0.7)/1000</f>
        <v>3313.0684999999999</v>
      </c>
      <c r="AU345" s="17">
        <f t="shared" si="17"/>
        <v>107.4</v>
      </c>
      <c r="AV345" s="18">
        <f>107400/1000</f>
        <v>107.4</v>
      </c>
      <c r="AW345" s="18">
        <v>0</v>
      </c>
      <c r="AY345" s="18" t="s">
        <v>5334</v>
      </c>
      <c r="AZ345" s="18">
        <v>0</v>
      </c>
      <c r="BA345" s="18">
        <v>0</v>
      </c>
      <c r="BB345" s="18">
        <v>0</v>
      </c>
      <c r="BD345" s="18">
        <v>0</v>
      </c>
      <c r="BE345" s="18">
        <v>150</v>
      </c>
      <c r="BG345" s="18" t="s">
        <v>5238</v>
      </c>
      <c r="BQ345" s="18">
        <f>8400/1000</f>
        <v>8.4</v>
      </c>
      <c r="BR345" s="18">
        <f>8200/1000</f>
        <v>8.1999999999999993</v>
      </c>
      <c r="BS345" s="18">
        <f>1200/1000</f>
        <v>1.2</v>
      </c>
      <c r="BT345" s="18">
        <f>1200/1000</f>
        <v>1.2</v>
      </c>
      <c r="BU345" s="18">
        <f>79988/1000</f>
        <v>79.988</v>
      </c>
      <c r="BV345" s="18">
        <f>SUM(BQ345:BU345)</f>
        <v>98.988</v>
      </c>
      <c r="BW345" s="15">
        <f t="shared" si="18"/>
        <v>98.988</v>
      </c>
      <c r="BY345" s="18" t="s">
        <v>5322</v>
      </c>
      <c r="BZ345" s="18" t="s">
        <v>5712</v>
      </c>
      <c r="CD345" s="18" t="s">
        <v>5127</v>
      </c>
      <c r="CE345" s="18" t="s">
        <v>111</v>
      </c>
      <c r="CF345" s="18" t="s">
        <v>5135</v>
      </c>
      <c r="CG345" s="18" t="s">
        <v>5313</v>
      </c>
      <c r="CH345" s="18" t="s">
        <v>5551</v>
      </c>
      <c r="CI345" s="18" t="s">
        <v>5351</v>
      </c>
      <c r="CJ345" s="18" t="s">
        <v>5196</v>
      </c>
      <c r="CK345" s="18" t="s">
        <v>5197</v>
      </c>
      <c r="CL345" s="18">
        <v>2</v>
      </c>
      <c r="CM345" s="18">
        <v>0</v>
      </c>
      <c r="CN345" s="18">
        <v>0</v>
      </c>
      <c r="CO345" s="18">
        <v>2</v>
      </c>
      <c r="CP345" s="18">
        <v>0</v>
      </c>
      <c r="CQ345" s="18">
        <v>2</v>
      </c>
      <c r="CR345" s="18">
        <v>0</v>
      </c>
      <c r="CS345" s="18" t="s">
        <v>5141</v>
      </c>
      <c r="CT345" s="18">
        <v>0</v>
      </c>
      <c r="CU345" s="18">
        <v>1</v>
      </c>
      <c r="CV345" s="18">
        <v>0</v>
      </c>
      <c r="CX345" s="18">
        <v>0</v>
      </c>
      <c r="CY345" s="18">
        <v>0</v>
      </c>
      <c r="CZ345" s="18">
        <v>1</v>
      </c>
      <c r="DA345" s="18">
        <v>1</v>
      </c>
      <c r="DB345" s="18">
        <v>2</v>
      </c>
      <c r="DC345" s="18">
        <v>1</v>
      </c>
      <c r="DD345" s="18">
        <v>2</v>
      </c>
      <c r="DE345" s="18">
        <v>1</v>
      </c>
      <c r="DF345" s="18" t="s">
        <v>5141</v>
      </c>
      <c r="DG345" s="18">
        <v>0</v>
      </c>
      <c r="DH345" s="18">
        <v>2</v>
      </c>
      <c r="DI345" s="18">
        <v>0</v>
      </c>
      <c r="DK345" s="18">
        <v>0</v>
      </c>
      <c r="DL345" s="18">
        <v>1</v>
      </c>
      <c r="DM345" s="18" t="s">
        <v>5127</v>
      </c>
      <c r="DN345" s="18" t="s">
        <v>5172</v>
      </c>
      <c r="DO345" s="18" t="s">
        <v>6044</v>
      </c>
      <c r="DP345" s="18" t="s">
        <v>113</v>
      </c>
      <c r="DS345" s="18">
        <v>0</v>
      </c>
      <c r="DT345" s="18">
        <v>1</v>
      </c>
      <c r="DU345" s="18">
        <v>1</v>
      </c>
      <c r="DV345" s="18" t="s">
        <v>5403</v>
      </c>
      <c r="DX345" s="18" t="s">
        <v>5145</v>
      </c>
      <c r="DY345" s="18" t="s">
        <v>106</v>
      </c>
      <c r="DZ345" s="18" t="s">
        <v>113</v>
      </c>
      <c r="EA345" s="18" t="s">
        <v>5175</v>
      </c>
      <c r="EB345" s="18">
        <v>18600</v>
      </c>
      <c r="EC345" s="18" t="s">
        <v>106</v>
      </c>
      <c r="ED345" s="18" t="s">
        <v>5176</v>
      </c>
      <c r="EE345" s="18" t="s">
        <v>113</v>
      </c>
      <c r="EF345" s="18" t="s">
        <v>113</v>
      </c>
      <c r="EG345" s="18" t="s">
        <v>5404</v>
      </c>
      <c r="EH345" s="18" t="s">
        <v>5203</v>
      </c>
      <c r="EI345" s="18" t="s">
        <v>5150</v>
      </c>
      <c r="EJ345" s="18" t="s">
        <v>5653</v>
      </c>
      <c r="EN345" s="18" t="s">
        <v>113</v>
      </c>
      <c r="EO345" s="18" t="s">
        <v>113</v>
      </c>
      <c r="EP345" s="18" t="s">
        <v>113</v>
      </c>
      <c r="EQ345" s="18" t="s">
        <v>113</v>
      </c>
      <c r="ER345" s="18" t="s">
        <v>5206</v>
      </c>
      <c r="ES345" s="18" t="s">
        <v>5153</v>
      </c>
      <c r="ET345" s="18" t="s">
        <v>5154</v>
      </c>
      <c r="EU345" s="18" t="s">
        <v>5155</v>
      </c>
      <c r="EV345" s="18" t="s">
        <v>5626</v>
      </c>
      <c r="EX345" s="18" t="s">
        <v>5158</v>
      </c>
      <c r="EY345" s="18" t="s">
        <v>5181</v>
      </c>
      <c r="EZ345" s="18" t="s">
        <v>5160</v>
      </c>
      <c r="FA345" s="18" t="s">
        <v>144</v>
      </c>
      <c r="FB345" s="18" t="s">
        <v>5161</v>
      </c>
    </row>
    <row r="346" spans="1:158" ht="10.5" customHeight="1" x14ac:dyDescent="0.2">
      <c r="A346" s="16">
        <v>41</v>
      </c>
      <c r="B346" s="16" t="s">
        <v>3236</v>
      </c>
      <c r="C346" s="16" t="s">
        <v>604</v>
      </c>
      <c r="D346" s="16">
        <v>36623</v>
      </c>
      <c r="E346" s="16" t="s">
        <v>6658</v>
      </c>
      <c r="F346" s="18" t="s">
        <v>604</v>
      </c>
      <c r="G346" s="18" t="s">
        <v>106</v>
      </c>
      <c r="H346" s="15" t="s">
        <v>5127</v>
      </c>
      <c r="I346" s="18">
        <v>20</v>
      </c>
      <c r="J346" s="18">
        <v>13</v>
      </c>
      <c r="K346" s="18" t="s">
        <v>1024</v>
      </c>
      <c r="L346" s="18">
        <v>0</v>
      </c>
      <c r="M346" s="18" t="s">
        <v>5230</v>
      </c>
      <c r="N346" s="18" t="s">
        <v>6289</v>
      </c>
      <c r="O346" s="18">
        <v>45928</v>
      </c>
      <c r="T346" s="18" t="s">
        <v>5240</v>
      </c>
      <c r="U346" s="18" t="s">
        <v>5250</v>
      </c>
      <c r="V346" s="18" t="s">
        <v>106</v>
      </c>
      <c r="W346" s="18" t="s">
        <v>5211</v>
      </c>
      <c r="Y346" s="18" t="s">
        <v>5162</v>
      </c>
      <c r="Z346" s="18" t="s">
        <v>106</v>
      </c>
      <c r="AA346" s="18" t="s">
        <v>5163</v>
      </c>
      <c r="AB346" s="18" t="s">
        <v>179</v>
      </c>
      <c r="AC346" s="18" t="s">
        <v>5127</v>
      </c>
      <c r="AD346" s="18" t="s">
        <v>5127</v>
      </c>
      <c r="AE346" s="18" t="s">
        <v>5127</v>
      </c>
      <c r="AF346" s="18" t="s">
        <v>5127</v>
      </c>
      <c r="AG346" s="18" t="s">
        <v>5127</v>
      </c>
      <c r="AH346" s="18" t="s">
        <v>5127</v>
      </c>
      <c r="AI346" s="18">
        <v>2</v>
      </c>
      <c r="AK346" s="18" t="s">
        <v>5424</v>
      </c>
      <c r="AN346" s="18">
        <v>1724</v>
      </c>
      <c r="AO346" s="18" t="s">
        <v>5863</v>
      </c>
      <c r="AP346" s="18" t="s">
        <v>6290</v>
      </c>
      <c r="AQ346" s="18" t="s">
        <v>5236</v>
      </c>
      <c r="AR346" s="18" t="s">
        <v>5464</v>
      </c>
      <c r="AT346" s="17">
        <f>(365*D346*0.7)/1000</f>
        <v>9357.1764999999996</v>
      </c>
      <c r="AU346" s="17">
        <f t="shared" si="17"/>
        <v>398</v>
      </c>
      <c r="AV346" s="18">
        <v>398</v>
      </c>
      <c r="AW346" s="18">
        <v>0</v>
      </c>
      <c r="AY346" s="18" t="s">
        <v>5334</v>
      </c>
      <c r="BD346" s="18">
        <f>1000/1000</f>
        <v>1</v>
      </c>
      <c r="BG346" s="18" t="s">
        <v>5281</v>
      </c>
      <c r="BQ346" s="18">
        <v>578</v>
      </c>
      <c r="BR346" s="18">
        <v>289</v>
      </c>
      <c r="BS346" s="18">
        <v>85</v>
      </c>
      <c r="BT346" s="18">
        <v>372</v>
      </c>
      <c r="BU346" s="18">
        <v>4</v>
      </c>
      <c r="BV346" s="18">
        <f t="shared" ref="BV346:BV353" si="20">SUM(BQ346:BU346)</f>
        <v>1328</v>
      </c>
      <c r="BW346" s="15">
        <f t="shared" si="18"/>
        <v>1328</v>
      </c>
      <c r="BY346" s="18" t="s">
        <v>5134</v>
      </c>
      <c r="BZ346" s="18" t="s">
        <v>5866</v>
      </c>
      <c r="CD346" s="18" t="s">
        <v>5127</v>
      </c>
      <c r="CE346" s="18" t="s">
        <v>111</v>
      </c>
      <c r="CF346" s="18" t="s">
        <v>5135</v>
      </c>
      <c r="CG346" s="18" t="s">
        <v>5804</v>
      </c>
      <c r="CH346" s="18" t="s">
        <v>5551</v>
      </c>
      <c r="CI346" s="18" t="s">
        <v>5138</v>
      </c>
      <c r="CJ346" s="18" t="s">
        <v>5196</v>
      </c>
      <c r="CK346" s="18" t="s">
        <v>6291</v>
      </c>
      <c r="CL346" s="18">
        <v>4</v>
      </c>
      <c r="CM346" s="18">
        <v>0</v>
      </c>
      <c r="CN346" s="18">
        <v>0</v>
      </c>
      <c r="CO346" s="18">
        <v>3</v>
      </c>
      <c r="CP346" s="18">
        <v>3</v>
      </c>
      <c r="CQ346" s="18">
        <v>2</v>
      </c>
      <c r="CR346" s="18" t="s">
        <v>5141</v>
      </c>
      <c r="CS346" s="18" t="s">
        <v>5141</v>
      </c>
      <c r="CT346" s="18">
        <v>2</v>
      </c>
      <c r="CU346" s="18">
        <v>2</v>
      </c>
      <c r="CV346" s="18">
        <v>1</v>
      </c>
      <c r="CX346" s="18">
        <v>1</v>
      </c>
      <c r="CY346" s="18">
        <v>1</v>
      </c>
      <c r="CZ346" s="18">
        <v>1</v>
      </c>
      <c r="DA346" s="18">
        <v>1</v>
      </c>
      <c r="DB346" s="18">
        <v>0</v>
      </c>
      <c r="DC346" s="18">
        <v>1</v>
      </c>
      <c r="DD346" s="18">
        <v>0</v>
      </c>
      <c r="DE346" s="18" t="s">
        <v>5141</v>
      </c>
      <c r="DF346" s="18" t="s">
        <v>5141</v>
      </c>
      <c r="DG346" s="18">
        <v>1</v>
      </c>
      <c r="DH346" s="18">
        <v>1</v>
      </c>
      <c r="DI346" s="18">
        <v>1</v>
      </c>
      <c r="DK346" s="18">
        <v>0</v>
      </c>
      <c r="DL346" s="18">
        <v>0</v>
      </c>
      <c r="DM346" s="18" t="s">
        <v>5127</v>
      </c>
      <c r="DN346" s="18" t="s">
        <v>5172</v>
      </c>
      <c r="DO346" s="18" t="s">
        <v>6292</v>
      </c>
      <c r="DP346" s="18" t="s">
        <v>113</v>
      </c>
      <c r="DS346" s="18">
        <v>0</v>
      </c>
      <c r="DT346" s="18">
        <v>1</v>
      </c>
      <c r="DU346" s="18">
        <v>1</v>
      </c>
      <c r="DV346" s="18" t="s">
        <v>5342</v>
      </c>
      <c r="DX346" s="18" t="s">
        <v>5201</v>
      </c>
      <c r="DY346" s="18" t="s">
        <v>106</v>
      </c>
      <c r="DZ346" s="18" t="s">
        <v>106</v>
      </c>
      <c r="EA346" s="18" t="s">
        <v>5261</v>
      </c>
      <c r="EB346" s="18">
        <v>1326</v>
      </c>
      <c r="EC346" s="18" t="s">
        <v>106</v>
      </c>
      <c r="ED346" s="18" t="s">
        <v>5176</v>
      </c>
      <c r="EE346" s="18" t="s">
        <v>113</v>
      </c>
      <c r="EF346" s="18" t="s">
        <v>113</v>
      </c>
      <c r="EG346" s="18" t="s">
        <v>5148</v>
      </c>
      <c r="EH346" s="18" t="s">
        <v>5203</v>
      </c>
      <c r="EI346" s="18" t="s">
        <v>5150</v>
      </c>
      <c r="EJ346" s="18" t="s">
        <v>5646</v>
      </c>
      <c r="EN346" s="18" t="s">
        <v>113</v>
      </c>
      <c r="EO346" s="18" t="s">
        <v>113</v>
      </c>
      <c r="EP346" s="18" t="s">
        <v>113</v>
      </c>
      <c r="EQ346" s="18" t="s">
        <v>113</v>
      </c>
      <c r="ER346" s="18" t="s">
        <v>5206</v>
      </c>
      <c r="ES346" s="18" t="s">
        <v>5153</v>
      </c>
      <c r="ET346" s="18" t="s">
        <v>5154</v>
      </c>
      <c r="EU346" s="18" t="s">
        <v>5155</v>
      </c>
      <c r="EV346" s="18" t="s">
        <v>6293</v>
      </c>
      <c r="EW346" s="18" t="s">
        <v>6294</v>
      </c>
      <c r="EX346" s="18" t="s">
        <v>5158</v>
      </c>
      <c r="EY346" s="18" t="s">
        <v>5229</v>
      </c>
      <c r="EZ346" s="18" t="s">
        <v>5160</v>
      </c>
      <c r="FA346" s="18" t="s">
        <v>144</v>
      </c>
      <c r="FB346" s="18" t="s">
        <v>5161</v>
      </c>
    </row>
    <row r="347" spans="1:158" ht="10.5" customHeight="1" x14ac:dyDescent="0.2">
      <c r="A347" s="16">
        <v>41</v>
      </c>
      <c r="B347" s="16" t="s">
        <v>3258</v>
      </c>
      <c r="C347" s="16" t="s">
        <v>3257</v>
      </c>
      <c r="D347" s="16">
        <v>13634</v>
      </c>
      <c r="E347" s="16" t="s">
        <v>6656</v>
      </c>
      <c r="F347" s="18" t="s">
        <v>3257</v>
      </c>
      <c r="G347" s="18" t="s">
        <v>106</v>
      </c>
      <c r="H347" s="15" t="s">
        <v>5127</v>
      </c>
      <c r="I347" s="18">
        <v>17</v>
      </c>
      <c r="J347" s="18">
        <v>8</v>
      </c>
      <c r="K347" s="18">
        <v>9</v>
      </c>
      <c r="L347" s="18">
        <v>0</v>
      </c>
      <c r="M347" s="18" t="s">
        <v>5121</v>
      </c>
      <c r="N347" s="18" t="s">
        <v>6295</v>
      </c>
      <c r="O347" s="18">
        <v>46162</v>
      </c>
      <c r="T347" s="18" t="s">
        <v>111</v>
      </c>
      <c r="U347" s="18" t="s">
        <v>5185</v>
      </c>
      <c r="V347" s="18" t="s">
        <v>106</v>
      </c>
      <c r="W347" s="18" t="s">
        <v>5124</v>
      </c>
      <c r="Y347" s="18" t="s">
        <v>6296</v>
      </c>
      <c r="Z347" s="18" t="s">
        <v>113</v>
      </c>
      <c r="AA347" s="18" t="s">
        <v>5163</v>
      </c>
      <c r="AB347" s="18" t="s">
        <v>179</v>
      </c>
      <c r="AC347" s="18" t="s">
        <v>111</v>
      </c>
      <c r="AD347" s="18" t="s">
        <v>111</v>
      </c>
      <c r="AE347" s="18" t="s">
        <v>111</v>
      </c>
      <c r="AF347" s="18" t="s">
        <v>111</v>
      </c>
      <c r="AG347" s="18" t="s">
        <v>111</v>
      </c>
      <c r="AH347" s="18" t="s">
        <v>111</v>
      </c>
      <c r="AI347" s="18">
        <v>1</v>
      </c>
      <c r="AK347" s="18" t="s">
        <v>5128</v>
      </c>
      <c r="AN347" s="18">
        <v>0</v>
      </c>
      <c r="AO347" s="18" t="s">
        <v>6054</v>
      </c>
      <c r="AP347" s="18" t="s">
        <v>6297</v>
      </c>
      <c r="AQ347" s="18" t="s">
        <v>5216</v>
      </c>
      <c r="AR347" s="18" t="s">
        <v>5464</v>
      </c>
      <c r="AT347" s="17">
        <f>(365*D347*0.7)/1000</f>
        <v>3483.4870000000001</v>
      </c>
      <c r="AU347" s="17">
        <f t="shared" si="17"/>
        <v>0</v>
      </c>
      <c r="AV347" s="18">
        <v>0</v>
      </c>
      <c r="AW347" s="18">
        <v>0</v>
      </c>
      <c r="AY347" s="18" t="s">
        <v>5569</v>
      </c>
      <c r="AZ347" s="18">
        <v>0</v>
      </c>
      <c r="BB347" s="18">
        <v>0</v>
      </c>
      <c r="BD347" s="18">
        <v>0</v>
      </c>
      <c r="BE347" s="18">
        <v>40000</v>
      </c>
      <c r="BG347" s="18" t="s">
        <v>5527</v>
      </c>
      <c r="BQ347" s="18">
        <f>45000/1000</f>
        <v>45</v>
      </c>
      <c r="BR347" s="18">
        <v>0</v>
      </c>
      <c r="BS347" s="18">
        <v>0</v>
      </c>
      <c r="BT347" s="18">
        <v>0</v>
      </c>
      <c r="BU347" s="18">
        <v>0</v>
      </c>
      <c r="BV347" s="18">
        <f t="shared" si="20"/>
        <v>45</v>
      </c>
      <c r="BW347" s="15">
        <f t="shared" si="18"/>
        <v>45</v>
      </c>
      <c r="BY347" s="18" t="s">
        <v>6298</v>
      </c>
      <c r="BZ347" s="18" t="s">
        <v>193</v>
      </c>
      <c r="CD347" s="18" t="s">
        <v>111</v>
      </c>
      <c r="CE347" s="18" t="s">
        <v>111</v>
      </c>
      <c r="CF347" s="18" t="s">
        <v>5135</v>
      </c>
      <c r="CG347" s="18" t="s">
        <v>5376</v>
      </c>
      <c r="CH347" s="18" t="s">
        <v>5137</v>
      </c>
      <c r="CI347" s="18" t="s">
        <v>5138</v>
      </c>
      <c r="CJ347" s="18" t="s">
        <v>5139</v>
      </c>
      <c r="CK347" s="18" t="s">
        <v>5171</v>
      </c>
      <c r="CL347" s="18">
        <v>2</v>
      </c>
      <c r="CM347" s="18">
        <v>0</v>
      </c>
      <c r="CN347" s="18">
        <v>0</v>
      </c>
      <c r="CO347" s="18">
        <v>0</v>
      </c>
      <c r="CP347" s="18">
        <v>3</v>
      </c>
      <c r="CQ347" s="18">
        <v>0</v>
      </c>
      <c r="CR347" s="18">
        <v>0</v>
      </c>
      <c r="CS347" s="18" t="s">
        <v>5141</v>
      </c>
      <c r="CT347" s="18">
        <v>0</v>
      </c>
      <c r="CU347" s="18">
        <v>0</v>
      </c>
      <c r="CV347" s="18">
        <v>1</v>
      </c>
      <c r="CX347" s="18">
        <v>1</v>
      </c>
      <c r="CY347" s="18">
        <v>0</v>
      </c>
      <c r="CZ347" s="18">
        <v>1</v>
      </c>
      <c r="DA347" s="18">
        <v>1</v>
      </c>
      <c r="DB347" s="18">
        <v>1</v>
      </c>
      <c r="DC347" s="18">
        <v>0</v>
      </c>
      <c r="DD347" s="18">
        <v>1</v>
      </c>
      <c r="DE347" s="18">
        <v>1</v>
      </c>
      <c r="DF347" s="18">
        <v>0</v>
      </c>
      <c r="DG347" s="18">
        <v>1</v>
      </c>
      <c r="DH347" s="18">
        <v>1</v>
      </c>
      <c r="DI347" s="18">
        <v>2</v>
      </c>
      <c r="DK347" s="18">
        <v>0</v>
      </c>
      <c r="DL347" s="18">
        <v>1</v>
      </c>
      <c r="DM347" s="18" t="s">
        <v>111</v>
      </c>
      <c r="DN347" s="18" t="s">
        <v>5299</v>
      </c>
      <c r="DO347" s="18" t="s">
        <v>5173</v>
      </c>
      <c r="DP347" s="18" t="s">
        <v>113</v>
      </c>
      <c r="DS347" s="18">
        <v>0</v>
      </c>
      <c r="DT347" s="18">
        <v>0</v>
      </c>
      <c r="DU347" s="18">
        <v>1</v>
      </c>
      <c r="DV347" s="18" t="s">
        <v>5444</v>
      </c>
      <c r="DX347" s="18" t="s">
        <v>5201</v>
      </c>
      <c r="DY347" s="18" t="s">
        <v>106</v>
      </c>
      <c r="DZ347" s="18" t="s">
        <v>113</v>
      </c>
      <c r="EA347" s="18" t="s">
        <v>5261</v>
      </c>
      <c r="EB347" s="18">
        <v>26254</v>
      </c>
      <c r="EC347" s="18" t="s">
        <v>106</v>
      </c>
      <c r="ED347" s="18" t="s">
        <v>5147</v>
      </c>
      <c r="EE347" s="18" t="s">
        <v>113</v>
      </c>
      <c r="EF347" s="18" t="s">
        <v>113</v>
      </c>
      <c r="EG347" s="18" t="s">
        <v>6299</v>
      </c>
      <c r="EH347" s="18" t="s">
        <v>5203</v>
      </c>
      <c r="EI347" s="18" t="s">
        <v>5204</v>
      </c>
      <c r="EJ347" s="18" t="s">
        <v>5287</v>
      </c>
      <c r="EN347" s="18" t="s">
        <v>113</v>
      </c>
      <c r="EO347" s="18" t="s">
        <v>106</v>
      </c>
      <c r="EP347" s="18" t="s">
        <v>113</v>
      </c>
      <c r="EQ347" s="18" t="s">
        <v>113</v>
      </c>
      <c r="ER347" s="18" t="s">
        <v>5206</v>
      </c>
      <c r="ES347" s="18" t="s">
        <v>5153</v>
      </c>
      <c r="ET347" s="18" t="s">
        <v>5154</v>
      </c>
      <c r="EU347" s="18" t="s">
        <v>5155</v>
      </c>
      <c r="EV347" s="18" t="s">
        <v>179</v>
      </c>
      <c r="EW347" s="18" t="s">
        <v>5320</v>
      </c>
      <c r="EX347" s="18" t="s">
        <v>5962</v>
      </c>
      <c r="EY347" s="18" t="s">
        <v>5229</v>
      </c>
      <c r="EZ347" s="18" t="s">
        <v>5308</v>
      </c>
      <c r="FA347" s="18" t="s">
        <v>144</v>
      </c>
      <c r="FB347" s="18" t="s">
        <v>5161</v>
      </c>
    </row>
    <row r="348" spans="1:158" ht="10.5" customHeight="1" x14ac:dyDescent="0.2">
      <c r="A348" s="16">
        <v>41</v>
      </c>
      <c r="B348" s="16" t="s">
        <v>3277</v>
      </c>
      <c r="C348" s="16" t="s">
        <v>3276</v>
      </c>
      <c r="D348" s="16">
        <v>9597</v>
      </c>
      <c r="E348" s="16" t="s">
        <v>6656</v>
      </c>
      <c r="F348" s="18" t="s">
        <v>3276</v>
      </c>
      <c r="G348" s="18" t="s">
        <v>106</v>
      </c>
      <c r="H348" s="15" t="s">
        <v>5127</v>
      </c>
      <c r="I348" s="18">
        <v>10</v>
      </c>
      <c r="J348" s="18">
        <v>3</v>
      </c>
      <c r="K348" s="18">
        <v>7</v>
      </c>
      <c r="M348" s="18" t="s">
        <v>5121</v>
      </c>
      <c r="N348" s="18">
        <v>297289</v>
      </c>
      <c r="T348" s="18" t="s">
        <v>111</v>
      </c>
      <c r="U348" s="18" t="s">
        <v>5185</v>
      </c>
      <c r="V348" s="18" t="s">
        <v>113</v>
      </c>
      <c r="W348" s="18" t="s">
        <v>113</v>
      </c>
      <c r="Y348" s="18" t="s">
        <v>5232</v>
      </c>
      <c r="Z348" s="18" t="s">
        <v>106</v>
      </c>
      <c r="AA348" s="18" t="s">
        <v>5267</v>
      </c>
      <c r="AC348" s="18" t="s">
        <v>111</v>
      </c>
      <c r="AD348" s="18" t="s">
        <v>111</v>
      </c>
      <c r="AE348" s="18" t="s">
        <v>111</v>
      </c>
      <c r="AF348" s="18" t="s">
        <v>111</v>
      </c>
      <c r="AG348" s="18" t="s">
        <v>5127</v>
      </c>
      <c r="AH348" s="18" t="s">
        <v>111</v>
      </c>
      <c r="AI348" s="18">
        <v>1</v>
      </c>
      <c r="AK348" s="18" t="s">
        <v>5164</v>
      </c>
      <c r="AN348" s="18">
        <v>1000</v>
      </c>
      <c r="AO348" s="18" t="s">
        <v>5129</v>
      </c>
      <c r="AP348" s="18" t="s">
        <v>6300</v>
      </c>
      <c r="AQ348" s="18" t="s">
        <v>5252</v>
      </c>
      <c r="AR348" s="18" t="s">
        <v>5132</v>
      </c>
      <c r="AT348" s="17">
        <f>(365*D348*0.7)/1000</f>
        <v>2452.0335</v>
      </c>
      <c r="AU348" s="17">
        <f t="shared" si="17"/>
        <v>200</v>
      </c>
      <c r="AV348" s="18">
        <v>200</v>
      </c>
      <c r="AW348" s="18">
        <v>0</v>
      </c>
      <c r="AY348" s="18" t="s">
        <v>5650</v>
      </c>
      <c r="BG348" s="18" t="s">
        <v>5169</v>
      </c>
      <c r="BQ348" s="18">
        <v>0</v>
      </c>
      <c r="BR348" s="18">
        <v>0</v>
      </c>
      <c r="BS348" s="18">
        <v>0</v>
      </c>
      <c r="BT348" s="18">
        <v>0</v>
      </c>
      <c r="BU348" s="18">
        <v>0</v>
      </c>
      <c r="BV348" s="18">
        <f t="shared" si="20"/>
        <v>0</v>
      </c>
      <c r="BW348" s="15">
        <f t="shared" si="18"/>
        <v>0</v>
      </c>
      <c r="BY348" s="18" t="s">
        <v>5134</v>
      </c>
      <c r="BZ348" s="18" t="s">
        <v>5312</v>
      </c>
      <c r="CD348" s="18" t="s">
        <v>5127</v>
      </c>
      <c r="CE348" s="18" t="s">
        <v>111</v>
      </c>
      <c r="CF348" s="18" t="s">
        <v>5135</v>
      </c>
      <c r="CG348" s="18" t="s">
        <v>5427</v>
      </c>
      <c r="CH348" s="18" t="s">
        <v>5241</v>
      </c>
      <c r="CI348" s="18" t="s">
        <v>5138</v>
      </c>
      <c r="CJ348" s="18" t="s">
        <v>5196</v>
      </c>
      <c r="CK348" s="18" t="s">
        <v>5197</v>
      </c>
      <c r="CL348" s="18">
        <v>1</v>
      </c>
      <c r="CM348" s="18">
        <v>1</v>
      </c>
      <c r="CN348" s="18">
        <v>0</v>
      </c>
      <c r="CO348" s="18">
        <v>1</v>
      </c>
      <c r="CP348" s="18">
        <v>1</v>
      </c>
      <c r="CQ348" s="18">
        <v>1</v>
      </c>
      <c r="CR348" s="18">
        <v>0</v>
      </c>
      <c r="CS348" s="18">
        <v>2</v>
      </c>
      <c r="CT348" s="18">
        <v>1</v>
      </c>
      <c r="CU348" s="18">
        <v>1</v>
      </c>
      <c r="CV348" s="18">
        <v>1</v>
      </c>
      <c r="CX348" s="18">
        <v>1</v>
      </c>
      <c r="CY348" s="18">
        <v>1</v>
      </c>
      <c r="CZ348" s="18">
        <v>1</v>
      </c>
      <c r="DA348" s="18">
        <v>1</v>
      </c>
      <c r="DB348" s="18">
        <v>1</v>
      </c>
      <c r="DC348" s="18">
        <v>1</v>
      </c>
      <c r="DD348" s="18">
        <v>1</v>
      </c>
      <c r="DE348" s="18">
        <v>1</v>
      </c>
      <c r="DF348" s="18">
        <v>1</v>
      </c>
      <c r="DG348" s="18">
        <v>1</v>
      </c>
      <c r="DH348" s="18">
        <v>1</v>
      </c>
      <c r="DI348" s="18">
        <v>1</v>
      </c>
      <c r="DK348" s="18">
        <v>0</v>
      </c>
      <c r="DL348" s="18">
        <v>1</v>
      </c>
      <c r="DM348" s="18" t="s">
        <v>5127</v>
      </c>
      <c r="DN348" s="18" t="s">
        <v>5172</v>
      </c>
      <c r="DO348" s="18" t="s">
        <v>5259</v>
      </c>
      <c r="DP348" s="18" t="s">
        <v>113</v>
      </c>
      <c r="DS348" s="18">
        <v>0</v>
      </c>
      <c r="DT348" s="18">
        <v>0</v>
      </c>
      <c r="DU348" s="18">
        <v>1</v>
      </c>
      <c r="DV348" s="18" t="s">
        <v>5397</v>
      </c>
      <c r="DX348" s="18" t="s">
        <v>5222</v>
      </c>
      <c r="DY348" s="18" t="s">
        <v>106</v>
      </c>
      <c r="DZ348" s="18" t="s">
        <v>113</v>
      </c>
      <c r="EA348" s="18" t="s">
        <v>5146</v>
      </c>
      <c r="EB348" s="18">
        <v>200</v>
      </c>
      <c r="EC348" s="18" t="s">
        <v>113</v>
      </c>
      <c r="ED348" s="18" t="s">
        <v>5147</v>
      </c>
      <c r="EE348" s="18" t="s">
        <v>113</v>
      </c>
      <c r="EF348" s="18" t="s">
        <v>113</v>
      </c>
      <c r="EG348" s="18" t="s">
        <v>5148</v>
      </c>
      <c r="EH348" s="18" t="s">
        <v>5203</v>
      </c>
      <c r="EI348" s="18" t="s">
        <v>5204</v>
      </c>
      <c r="EJ348" s="18" t="s">
        <v>5653</v>
      </c>
      <c r="EN348" s="18" t="s">
        <v>113</v>
      </c>
      <c r="ER348" s="18" t="s">
        <v>5155</v>
      </c>
      <c r="ES348" s="18" t="s">
        <v>5744</v>
      </c>
      <c r="ET348" s="18" t="s">
        <v>5154</v>
      </c>
      <c r="EU348" s="18" t="s">
        <v>5155</v>
      </c>
      <c r="EV348" s="18" t="s">
        <v>6301</v>
      </c>
      <c r="EW348" s="18" t="s">
        <v>6076</v>
      </c>
      <c r="EX348" s="18" t="s">
        <v>5158</v>
      </c>
      <c r="EY348" s="18" t="s">
        <v>5159</v>
      </c>
      <c r="EZ348" s="18" t="s">
        <v>5182</v>
      </c>
      <c r="FA348" s="18" t="s">
        <v>144</v>
      </c>
      <c r="FB348" s="18" t="s">
        <v>5161</v>
      </c>
    </row>
    <row r="349" spans="1:158" ht="10.5" customHeight="1" x14ac:dyDescent="0.2">
      <c r="A349" s="16">
        <v>41</v>
      </c>
      <c r="B349" s="16" t="s">
        <v>3282</v>
      </c>
      <c r="C349" s="16" t="s">
        <v>2977</v>
      </c>
      <c r="D349" s="16">
        <v>149819</v>
      </c>
      <c r="E349" s="16" t="s">
        <v>6657</v>
      </c>
      <c r="F349" s="18" t="s">
        <v>2977</v>
      </c>
      <c r="G349" s="18" t="s">
        <v>106</v>
      </c>
      <c r="H349" s="15" t="s">
        <v>5127</v>
      </c>
      <c r="I349" s="18">
        <v>20</v>
      </c>
      <c r="J349" s="18">
        <v>15</v>
      </c>
      <c r="K349" s="18">
        <v>5</v>
      </c>
      <c r="L349" s="18">
        <v>0</v>
      </c>
      <c r="M349" s="18" t="s">
        <v>5183</v>
      </c>
      <c r="N349" s="18" t="s">
        <v>6302</v>
      </c>
      <c r="O349" s="18">
        <v>47540</v>
      </c>
      <c r="T349" s="18" t="s">
        <v>111</v>
      </c>
      <c r="U349" s="18" t="s">
        <v>5185</v>
      </c>
      <c r="V349" s="18" t="s">
        <v>113</v>
      </c>
      <c r="W349" s="18" t="s">
        <v>5211</v>
      </c>
      <c r="Y349" s="18" t="s">
        <v>5162</v>
      </c>
      <c r="Z349" s="18" t="s">
        <v>106</v>
      </c>
      <c r="AA349" s="18" t="s">
        <v>5163</v>
      </c>
      <c r="AB349" s="18" t="s">
        <v>179</v>
      </c>
      <c r="AC349" s="18" t="s">
        <v>5127</v>
      </c>
      <c r="AD349" s="18" t="s">
        <v>5127</v>
      </c>
      <c r="AE349" s="18" t="s">
        <v>111</v>
      </c>
      <c r="AF349" s="18" t="s">
        <v>111</v>
      </c>
      <c r="AG349" s="18" t="s">
        <v>5127</v>
      </c>
      <c r="AH349" s="18" t="s">
        <v>111</v>
      </c>
      <c r="AI349" s="18">
        <v>0</v>
      </c>
      <c r="AK349" s="18" t="s">
        <v>5164</v>
      </c>
      <c r="AN349" s="18">
        <v>1080</v>
      </c>
      <c r="AO349" s="18" t="s">
        <v>5391</v>
      </c>
      <c r="AP349" s="18" t="s">
        <v>6303</v>
      </c>
      <c r="AQ349" s="18" t="s">
        <v>5252</v>
      </c>
      <c r="AR349" s="18" t="s">
        <v>5168</v>
      </c>
      <c r="AT349" s="17">
        <f>(365*D349*0.7)/1000</f>
        <v>38278.754500000003</v>
      </c>
      <c r="AU349" s="17">
        <f t="shared" si="17"/>
        <v>400</v>
      </c>
      <c r="AV349" s="18">
        <v>400</v>
      </c>
      <c r="AW349" s="18">
        <v>0</v>
      </c>
      <c r="AY349" s="18" t="s">
        <v>5334</v>
      </c>
      <c r="BD349" s="18">
        <f>400/1000</f>
        <v>0.4</v>
      </c>
      <c r="BG349" s="18" t="s">
        <v>6304</v>
      </c>
      <c r="BQ349" s="18">
        <v>50</v>
      </c>
      <c r="BR349" s="18">
        <v>60</v>
      </c>
      <c r="BS349" s="18">
        <v>20</v>
      </c>
      <c r="BT349" s="18">
        <v>10</v>
      </c>
      <c r="BU349" s="18">
        <v>0</v>
      </c>
      <c r="BV349" s="18">
        <f t="shared" si="20"/>
        <v>140</v>
      </c>
      <c r="BW349" s="15">
        <f t="shared" si="18"/>
        <v>140</v>
      </c>
      <c r="BY349" s="18" t="s">
        <v>5134</v>
      </c>
      <c r="BZ349" s="18" t="s">
        <v>5688</v>
      </c>
      <c r="CD349" s="18" t="s">
        <v>5127</v>
      </c>
      <c r="CE349" s="18" t="s">
        <v>111</v>
      </c>
      <c r="CF349" s="18" t="s">
        <v>5282</v>
      </c>
      <c r="CG349" s="18" t="s">
        <v>6305</v>
      </c>
      <c r="CH349" s="18" t="s">
        <v>5284</v>
      </c>
      <c r="CI349" s="18" t="s">
        <v>5138</v>
      </c>
      <c r="CJ349" s="18" t="s">
        <v>5196</v>
      </c>
      <c r="CK349" s="18" t="s">
        <v>5256</v>
      </c>
      <c r="CL349" s="18">
        <v>0</v>
      </c>
      <c r="CM349" s="18">
        <v>3</v>
      </c>
      <c r="CN349" s="18">
        <v>0</v>
      </c>
      <c r="CO349" s="18">
        <v>2</v>
      </c>
      <c r="CP349" s="18">
        <v>1</v>
      </c>
      <c r="CQ349" s="18">
        <v>0</v>
      </c>
      <c r="CR349" s="18">
        <v>0</v>
      </c>
      <c r="CS349" s="18" t="s">
        <v>5141</v>
      </c>
      <c r="CT349" s="18">
        <v>0</v>
      </c>
      <c r="CU349" s="18">
        <v>0</v>
      </c>
      <c r="CV349" s="18">
        <v>2</v>
      </c>
      <c r="CX349" s="18">
        <v>1</v>
      </c>
      <c r="CY349" s="18">
        <v>1</v>
      </c>
      <c r="CZ349" s="18">
        <v>0</v>
      </c>
      <c r="DA349" s="18">
        <v>1</v>
      </c>
      <c r="DB349" s="18">
        <v>0</v>
      </c>
      <c r="DC349" s="18">
        <v>1</v>
      </c>
      <c r="DD349" s="18">
        <v>1</v>
      </c>
      <c r="DE349" s="18">
        <v>1</v>
      </c>
      <c r="DF349" s="18">
        <v>0</v>
      </c>
      <c r="DG349" s="18">
        <v>1</v>
      </c>
      <c r="DH349" s="18">
        <v>1</v>
      </c>
      <c r="DI349" s="18">
        <v>0</v>
      </c>
      <c r="DK349" s="18">
        <v>0</v>
      </c>
      <c r="DL349" s="18">
        <v>1</v>
      </c>
      <c r="DM349" s="18" t="s">
        <v>5127</v>
      </c>
      <c r="DN349" s="18" t="s">
        <v>5258</v>
      </c>
      <c r="DO349" s="18" t="s">
        <v>5259</v>
      </c>
      <c r="DP349" s="18" t="s">
        <v>106</v>
      </c>
      <c r="DQ349" s="18" t="s">
        <v>5168</v>
      </c>
      <c r="DS349" s="18">
        <v>0</v>
      </c>
      <c r="DT349" s="18">
        <v>1</v>
      </c>
      <c r="DU349" s="18">
        <v>1</v>
      </c>
      <c r="DV349" s="18" t="s">
        <v>5444</v>
      </c>
      <c r="DX349" s="18" t="s">
        <v>5201</v>
      </c>
      <c r="DY349" s="18" t="s">
        <v>106</v>
      </c>
      <c r="DZ349" s="18" t="s">
        <v>106</v>
      </c>
      <c r="EA349" s="18" t="s">
        <v>5586</v>
      </c>
      <c r="EB349" s="18">
        <v>1000</v>
      </c>
      <c r="EC349" s="18" t="s">
        <v>106</v>
      </c>
      <c r="ED349" s="18" t="s">
        <v>5147</v>
      </c>
      <c r="EE349" s="18" t="s">
        <v>106</v>
      </c>
      <c r="EF349" s="18" t="s">
        <v>113</v>
      </c>
      <c r="EH349" s="18" t="s">
        <v>5203</v>
      </c>
      <c r="EI349" s="18" t="s">
        <v>5204</v>
      </c>
      <c r="EJ349" s="18" t="s">
        <v>5287</v>
      </c>
      <c r="EK349" s="18" t="s">
        <v>113</v>
      </c>
      <c r="EL349" s="18" t="s">
        <v>157</v>
      </c>
      <c r="EM349" s="18" t="s">
        <v>5227</v>
      </c>
      <c r="EN349" s="18" t="s">
        <v>113</v>
      </c>
      <c r="EO349" s="18" t="s">
        <v>113</v>
      </c>
      <c r="EP349" s="18" t="s">
        <v>113</v>
      </c>
      <c r="EQ349" s="18" t="s">
        <v>113</v>
      </c>
      <c r="ER349" s="18" t="s">
        <v>5289</v>
      </c>
      <c r="ES349" s="18" t="s">
        <v>5153</v>
      </c>
      <c r="ET349" s="18" t="s">
        <v>5154</v>
      </c>
      <c r="EU349" s="18" t="s">
        <v>5155</v>
      </c>
      <c r="EV349" s="18" t="s">
        <v>5290</v>
      </c>
      <c r="EW349" s="18" t="s">
        <v>5346</v>
      </c>
      <c r="EX349" s="18" t="s">
        <v>5158</v>
      </c>
      <c r="EY349" s="18" t="s">
        <v>5181</v>
      </c>
      <c r="EZ349" s="18" t="s">
        <v>5389</v>
      </c>
      <c r="FA349" s="18" t="s">
        <v>144</v>
      </c>
      <c r="FB349" s="18" t="s">
        <v>5161</v>
      </c>
    </row>
    <row r="350" spans="1:158" ht="10.5" customHeight="1" x14ac:dyDescent="0.2">
      <c r="A350" s="16">
        <v>41</v>
      </c>
      <c r="B350" s="16" t="s">
        <v>3296</v>
      </c>
      <c r="C350" s="16" t="s">
        <v>3295</v>
      </c>
      <c r="D350" s="16">
        <v>2378</v>
      </c>
      <c r="E350" s="16" t="s">
        <v>6656</v>
      </c>
      <c r="F350" s="18" t="s">
        <v>3295</v>
      </c>
      <c r="G350" s="18" t="s">
        <v>106</v>
      </c>
      <c r="H350" s="15" t="s">
        <v>5127</v>
      </c>
      <c r="I350" s="18">
        <v>12</v>
      </c>
      <c r="J350" s="18">
        <v>3</v>
      </c>
      <c r="K350" s="18">
        <v>9</v>
      </c>
      <c r="L350" s="18">
        <v>0</v>
      </c>
      <c r="M350" s="18" t="s">
        <v>5183</v>
      </c>
      <c r="N350" s="18" t="s">
        <v>1688</v>
      </c>
      <c r="T350" s="18" t="s">
        <v>111</v>
      </c>
      <c r="U350" s="18" t="s">
        <v>5250</v>
      </c>
      <c r="V350" s="18" t="s">
        <v>106</v>
      </c>
      <c r="W350" s="18" t="s">
        <v>5211</v>
      </c>
      <c r="Y350" s="18" t="s">
        <v>5162</v>
      </c>
      <c r="Z350" s="18" t="s">
        <v>113</v>
      </c>
      <c r="AA350" s="18" t="s">
        <v>5163</v>
      </c>
      <c r="AB350" s="18" t="s">
        <v>179</v>
      </c>
      <c r="AC350" s="18" t="s">
        <v>111</v>
      </c>
      <c r="AD350" s="18" t="s">
        <v>5127</v>
      </c>
      <c r="AE350" s="18" t="s">
        <v>111</v>
      </c>
      <c r="AF350" s="18" t="s">
        <v>111</v>
      </c>
      <c r="AG350" s="18" t="s">
        <v>5127</v>
      </c>
      <c r="AH350" s="18" t="s">
        <v>111</v>
      </c>
      <c r="AI350" s="18">
        <v>0</v>
      </c>
      <c r="AK350" s="18" t="s">
        <v>5164</v>
      </c>
      <c r="AN350" s="18">
        <v>0</v>
      </c>
      <c r="AO350" s="18" t="s">
        <v>5129</v>
      </c>
      <c r="AP350" s="18" t="s">
        <v>6306</v>
      </c>
      <c r="AQ350" s="18" t="s">
        <v>6007</v>
      </c>
      <c r="AR350" s="18" t="s">
        <v>5132</v>
      </c>
      <c r="AT350" s="17">
        <f>(365*D350*0.7)/1000</f>
        <v>607.57899999999995</v>
      </c>
      <c r="AU350" s="17">
        <f t="shared" si="17"/>
        <v>65</v>
      </c>
      <c r="AV350" s="18">
        <v>65</v>
      </c>
      <c r="AW350" s="18">
        <v>0</v>
      </c>
      <c r="AY350" s="18" t="s">
        <v>6217</v>
      </c>
      <c r="BA350" s="18">
        <v>0</v>
      </c>
      <c r="BB350" s="18">
        <v>0</v>
      </c>
      <c r="BD350" s="18">
        <f>500/1000</f>
        <v>0.5</v>
      </c>
      <c r="BE350" s="18">
        <v>5</v>
      </c>
      <c r="BG350" s="18" t="s">
        <v>5190</v>
      </c>
      <c r="BQ350" s="18">
        <v>25</v>
      </c>
      <c r="BR350" s="18">
        <v>400</v>
      </c>
      <c r="BS350" s="18">
        <v>18</v>
      </c>
      <c r="BT350" s="18">
        <v>10</v>
      </c>
      <c r="BU350" s="18">
        <v>0</v>
      </c>
      <c r="BV350" s="18">
        <f t="shared" si="20"/>
        <v>453</v>
      </c>
      <c r="BW350" s="15">
        <f t="shared" si="18"/>
        <v>453</v>
      </c>
      <c r="BY350" s="18" t="s">
        <v>5134</v>
      </c>
      <c r="BZ350" s="18" t="s">
        <v>193</v>
      </c>
      <c r="CD350" s="18" t="s">
        <v>5127</v>
      </c>
      <c r="CE350" s="18" t="s">
        <v>111</v>
      </c>
      <c r="CF350" s="18" t="s">
        <v>5135</v>
      </c>
      <c r="CG350" s="18" t="s">
        <v>5410</v>
      </c>
      <c r="CH350" s="18" t="s">
        <v>5194</v>
      </c>
      <c r="CI350" s="18" t="s">
        <v>5138</v>
      </c>
      <c r="CJ350" s="18" t="s">
        <v>5196</v>
      </c>
      <c r="CK350" s="18" t="s">
        <v>5197</v>
      </c>
      <c r="CL350" s="18">
        <v>1</v>
      </c>
      <c r="CM350" s="18">
        <v>0</v>
      </c>
      <c r="CN350" s="18">
        <v>0</v>
      </c>
      <c r="CO350" s="18">
        <v>1</v>
      </c>
      <c r="CP350" s="18">
        <v>0</v>
      </c>
      <c r="CQ350" s="18">
        <v>0</v>
      </c>
      <c r="CR350" s="18">
        <v>0</v>
      </c>
      <c r="CS350" s="18" t="s">
        <v>5141</v>
      </c>
      <c r="CT350" s="18">
        <v>0</v>
      </c>
      <c r="CU350" s="18">
        <v>0</v>
      </c>
      <c r="CV350" s="18">
        <v>0</v>
      </c>
      <c r="CX350" s="18">
        <v>0</v>
      </c>
      <c r="CY350" s="18">
        <v>0</v>
      </c>
      <c r="CZ350" s="18">
        <v>0</v>
      </c>
      <c r="DA350" s="18">
        <v>0</v>
      </c>
      <c r="DB350" s="18">
        <v>0</v>
      </c>
      <c r="DC350" s="18">
        <v>1</v>
      </c>
      <c r="DD350" s="18">
        <v>1</v>
      </c>
      <c r="DE350" s="18">
        <v>5</v>
      </c>
      <c r="DF350" s="18" t="s">
        <v>5141</v>
      </c>
      <c r="DG350" s="18">
        <v>0</v>
      </c>
      <c r="DH350" s="18">
        <v>2</v>
      </c>
      <c r="DI350" s="18">
        <v>2</v>
      </c>
      <c r="DK350" s="18">
        <v>0</v>
      </c>
      <c r="DL350" s="18">
        <v>0</v>
      </c>
      <c r="DM350" s="18" t="s">
        <v>111</v>
      </c>
      <c r="DN350" s="18" t="s">
        <v>5314</v>
      </c>
      <c r="DO350" s="18" t="s">
        <v>5841</v>
      </c>
      <c r="DP350" s="18" t="s">
        <v>106</v>
      </c>
      <c r="DQ350" s="18" t="s">
        <v>5132</v>
      </c>
      <c r="DS350" s="18">
        <v>0</v>
      </c>
      <c r="DT350" s="18">
        <v>0</v>
      </c>
      <c r="DU350" s="18">
        <v>1</v>
      </c>
      <c r="DV350" s="18" t="s">
        <v>5842</v>
      </c>
      <c r="DX350" s="18" t="s">
        <v>5201</v>
      </c>
      <c r="DY350" s="18" t="s">
        <v>106</v>
      </c>
      <c r="DZ350" s="18" t="s">
        <v>113</v>
      </c>
      <c r="EA350" s="18" t="s">
        <v>5261</v>
      </c>
      <c r="EB350" s="18">
        <v>453</v>
      </c>
      <c r="EC350" s="18" t="s">
        <v>113</v>
      </c>
      <c r="ED350" s="18" t="s">
        <v>5147</v>
      </c>
      <c r="EE350" s="18" t="s">
        <v>113</v>
      </c>
      <c r="EF350" s="18" t="s">
        <v>113</v>
      </c>
      <c r="EG350" s="18" t="s">
        <v>5148</v>
      </c>
      <c r="EH350" s="18" t="s">
        <v>5203</v>
      </c>
      <c r="EI350" s="18" t="s">
        <v>5204</v>
      </c>
      <c r="EJ350" s="18" t="s">
        <v>5327</v>
      </c>
      <c r="EK350" s="18" t="s">
        <v>113</v>
      </c>
      <c r="EM350" s="18">
        <v>0</v>
      </c>
      <c r="EN350" s="18" t="s">
        <v>113</v>
      </c>
      <c r="EO350" s="18" t="s">
        <v>113</v>
      </c>
      <c r="EP350" s="18" t="s">
        <v>113</v>
      </c>
      <c r="EQ350" s="18" t="s">
        <v>113</v>
      </c>
      <c r="ER350" s="18" t="s">
        <v>5206</v>
      </c>
      <c r="ES350" s="18" t="s">
        <v>5153</v>
      </c>
      <c r="ET350" s="18" t="s">
        <v>5154</v>
      </c>
      <c r="EU350" s="18" t="s">
        <v>5155</v>
      </c>
      <c r="EV350" s="18" t="s">
        <v>5319</v>
      </c>
      <c r="EW350" s="18" t="s">
        <v>5844</v>
      </c>
      <c r="EX350" s="18" t="s">
        <v>5158</v>
      </c>
      <c r="EY350" s="18" t="s">
        <v>5229</v>
      </c>
      <c r="EZ350" s="18" t="s">
        <v>5160</v>
      </c>
      <c r="FA350" s="18" t="s">
        <v>144</v>
      </c>
      <c r="FB350" s="18" t="s">
        <v>5161</v>
      </c>
    </row>
    <row r="351" spans="1:158" ht="10.5" customHeight="1" x14ac:dyDescent="0.2">
      <c r="A351" s="16">
        <v>41</v>
      </c>
      <c r="B351" s="16" t="s">
        <v>3310</v>
      </c>
      <c r="C351" s="16" t="s">
        <v>255</v>
      </c>
      <c r="D351" s="16">
        <v>95525</v>
      </c>
      <c r="E351" s="16" t="s">
        <v>6658</v>
      </c>
      <c r="F351" s="18" t="s">
        <v>255</v>
      </c>
      <c r="G351" s="18" t="s">
        <v>106</v>
      </c>
      <c r="H351" s="15" t="s">
        <v>5127</v>
      </c>
      <c r="I351" s="18">
        <v>46</v>
      </c>
      <c r="J351" s="18">
        <v>25</v>
      </c>
      <c r="K351" s="18">
        <v>21</v>
      </c>
      <c r="M351" s="18" t="s">
        <v>5183</v>
      </c>
      <c r="N351" s="18" t="s">
        <v>6307</v>
      </c>
      <c r="O351" s="18">
        <v>46408</v>
      </c>
      <c r="T351" s="18" t="s">
        <v>6308</v>
      </c>
      <c r="U351" s="18" t="s">
        <v>5185</v>
      </c>
      <c r="V351" s="18" t="s">
        <v>106</v>
      </c>
      <c r="W351" s="18" t="s">
        <v>5124</v>
      </c>
      <c r="Y351" s="18" t="s">
        <v>5407</v>
      </c>
      <c r="Z351" s="18" t="s">
        <v>106</v>
      </c>
      <c r="AA351" s="18" t="s">
        <v>5163</v>
      </c>
      <c r="AB351" s="18" t="s">
        <v>179</v>
      </c>
      <c r="AC351" s="18" t="s">
        <v>5127</v>
      </c>
      <c r="AD351" s="18" t="s">
        <v>5127</v>
      </c>
      <c r="AE351" s="18" t="s">
        <v>111</v>
      </c>
      <c r="AF351" s="18" t="s">
        <v>111</v>
      </c>
      <c r="AG351" s="18" t="s">
        <v>5127</v>
      </c>
      <c r="AH351" s="18" t="s">
        <v>5127</v>
      </c>
      <c r="AI351" s="18">
        <v>3</v>
      </c>
      <c r="AK351" s="18" t="s">
        <v>5164</v>
      </c>
      <c r="AN351" s="18">
        <v>1800</v>
      </c>
      <c r="AO351" s="18" t="s">
        <v>5186</v>
      </c>
      <c r="AP351" s="18" t="s">
        <v>6309</v>
      </c>
      <c r="AQ351" s="18" t="s">
        <v>5311</v>
      </c>
      <c r="AR351" s="18" t="s">
        <v>5168</v>
      </c>
      <c r="AT351" s="17">
        <f>(365*D351*0.7)/1000</f>
        <v>24406.637500000001</v>
      </c>
      <c r="AU351" s="17">
        <f t="shared" si="17"/>
        <v>600</v>
      </c>
      <c r="AV351" s="18">
        <v>600</v>
      </c>
      <c r="AW351" s="18">
        <v>0</v>
      </c>
      <c r="AY351" s="18" t="s">
        <v>5334</v>
      </c>
      <c r="BG351" s="18" t="s">
        <v>6310</v>
      </c>
      <c r="BQ351" s="18">
        <v>528</v>
      </c>
      <c r="BR351" s="18">
        <v>768</v>
      </c>
      <c r="BS351" s="18">
        <v>3</v>
      </c>
      <c r="BT351" s="18">
        <v>68.650000000000006</v>
      </c>
      <c r="BU351" s="18">
        <v>10</v>
      </c>
      <c r="BV351" s="18">
        <f t="shared" si="20"/>
        <v>1377.65</v>
      </c>
      <c r="BW351" s="15">
        <f t="shared" si="18"/>
        <v>1377.65</v>
      </c>
      <c r="BY351" s="18" t="s">
        <v>5239</v>
      </c>
      <c r="BZ351" s="18" t="s">
        <v>5688</v>
      </c>
      <c r="CD351" s="18" t="s">
        <v>5127</v>
      </c>
      <c r="CE351" s="18" t="s">
        <v>5127</v>
      </c>
      <c r="CF351" s="18" t="s">
        <v>5282</v>
      </c>
      <c r="CG351" s="18" t="s">
        <v>5193</v>
      </c>
      <c r="CH351" s="18" t="s">
        <v>5194</v>
      </c>
      <c r="CI351" s="18" t="s">
        <v>5195</v>
      </c>
      <c r="CJ351" s="18" t="s">
        <v>5680</v>
      </c>
      <c r="CK351" s="18" t="s">
        <v>6239</v>
      </c>
      <c r="CL351" s="18">
        <v>3</v>
      </c>
      <c r="CM351" s="18">
        <v>2</v>
      </c>
      <c r="CN351" s="18">
        <v>0</v>
      </c>
      <c r="CO351" s="18">
        <v>3</v>
      </c>
      <c r="CP351" s="18">
        <v>5</v>
      </c>
      <c r="CQ351" s="18">
        <v>1</v>
      </c>
      <c r="CR351" s="18">
        <v>0</v>
      </c>
      <c r="CS351" s="18" t="s">
        <v>5141</v>
      </c>
      <c r="CT351" s="18">
        <v>1</v>
      </c>
      <c r="CU351" s="18">
        <v>0</v>
      </c>
      <c r="CV351" s="18">
        <v>1</v>
      </c>
      <c r="CX351" s="18">
        <v>1</v>
      </c>
      <c r="CY351" s="18">
        <v>0</v>
      </c>
      <c r="CZ351" s="18">
        <v>1</v>
      </c>
      <c r="DA351" s="18">
        <v>2</v>
      </c>
      <c r="DB351" s="18">
        <v>2</v>
      </c>
      <c r="DC351" s="18">
        <v>2</v>
      </c>
      <c r="DD351" s="18">
        <v>1</v>
      </c>
      <c r="DE351" s="18" t="s">
        <v>5141</v>
      </c>
      <c r="DF351" s="18" t="s">
        <v>5141</v>
      </c>
      <c r="DG351" s="18">
        <v>1</v>
      </c>
      <c r="DH351" s="18" t="s">
        <v>5141</v>
      </c>
      <c r="DI351" s="18">
        <v>2</v>
      </c>
      <c r="DK351" s="18">
        <v>1</v>
      </c>
      <c r="DL351" s="18">
        <v>0</v>
      </c>
      <c r="DM351" s="18" t="s">
        <v>5127</v>
      </c>
      <c r="DN351" s="18" t="s">
        <v>5314</v>
      </c>
      <c r="DO351" s="18" t="s">
        <v>5681</v>
      </c>
      <c r="DP351" s="18" t="s">
        <v>113</v>
      </c>
      <c r="DS351" s="18">
        <v>600</v>
      </c>
      <c r="DT351" s="18">
        <v>2</v>
      </c>
      <c r="DU351" s="18">
        <v>1</v>
      </c>
      <c r="DV351" s="18" t="s">
        <v>5342</v>
      </c>
      <c r="DX351" s="18" t="s">
        <v>5222</v>
      </c>
      <c r="DY351" s="18" t="s">
        <v>106</v>
      </c>
      <c r="DZ351" s="18" t="s">
        <v>106</v>
      </c>
      <c r="EA351" s="18" t="s">
        <v>5639</v>
      </c>
      <c r="EB351" s="18">
        <v>1170</v>
      </c>
      <c r="EC351" s="18" t="s">
        <v>106</v>
      </c>
      <c r="ED351" s="18" t="s">
        <v>5147</v>
      </c>
      <c r="EE351" s="18" t="s">
        <v>106</v>
      </c>
      <c r="EF351" s="18" t="s">
        <v>106</v>
      </c>
      <c r="EH351" s="18" t="s">
        <v>5203</v>
      </c>
      <c r="EI351" s="18" t="s">
        <v>5204</v>
      </c>
      <c r="EK351" s="18" t="s">
        <v>113</v>
      </c>
      <c r="EL351" s="18" t="s">
        <v>236</v>
      </c>
      <c r="EM351" s="18" t="s">
        <v>5514</v>
      </c>
      <c r="EN351" s="18" t="s">
        <v>113</v>
      </c>
      <c r="EO351" s="18" t="s">
        <v>106</v>
      </c>
      <c r="EP351" s="18" t="s">
        <v>113</v>
      </c>
      <c r="EQ351" s="18" t="s">
        <v>106</v>
      </c>
      <c r="ER351" s="18" t="s">
        <v>5206</v>
      </c>
      <c r="ET351" s="18" t="s">
        <v>5154</v>
      </c>
      <c r="EU351" s="18" t="s">
        <v>5318</v>
      </c>
      <c r="EV351" s="18" t="s">
        <v>5345</v>
      </c>
      <c r="EW351" s="18" t="s">
        <v>5766</v>
      </c>
      <c r="EX351" s="18" t="s">
        <v>5158</v>
      </c>
      <c r="EY351" s="18" t="s">
        <v>5229</v>
      </c>
      <c r="EZ351" s="18" t="s">
        <v>5182</v>
      </c>
      <c r="FA351" s="18" t="s">
        <v>144</v>
      </c>
      <c r="FB351" s="18" t="s">
        <v>5161</v>
      </c>
    </row>
    <row r="352" spans="1:158" ht="10.5" customHeight="1" x14ac:dyDescent="0.2">
      <c r="A352" s="16">
        <v>41</v>
      </c>
      <c r="B352" s="16" t="s">
        <v>3321</v>
      </c>
      <c r="C352" s="16" t="s">
        <v>3320</v>
      </c>
      <c r="D352" s="16">
        <v>5939</v>
      </c>
      <c r="E352" s="16" t="s">
        <v>6656</v>
      </c>
      <c r="F352" s="18" t="s">
        <v>3320</v>
      </c>
      <c r="G352" s="18" t="s">
        <v>106</v>
      </c>
      <c r="H352" s="15" t="s">
        <v>5127</v>
      </c>
      <c r="I352" s="18">
        <v>12</v>
      </c>
      <c r="J352" s="18" t="s">
        <v>2993</v>
      </c>
      <c r="K352" s="18" t="s">
        <v>4537</v>
      </c>
      <c r="L352" s="18">
        <v>0</v>
      </c>
      <c r="M352" s="18" t="s">
        <v>5183</v>
      </c>
      <c r="N352" s="18" t="s">
        <v>6311</v>
      </c>
      <c r="O352" s="18">
        <v>46011</v>
      </c>
      <c r="T352" s="18" t="s">
        <v>5240</v>
      </c>
      <c r="U352" s="18" t="s">
        <v>5185</v>
      </c>
      <c r="V352" s="18" t="s">
        <v>106</v>
      </c>
      <c r="W352" s="18" t="s">
        <v>5124</v>
      </c>
      <c r="Y352" s="18" t="s">
        <v>5232</v>
      </c>
      <c r="Z352" s="18" t="s">
        <v>106</v>
      </c>
      <c r="AA352" s="18" t="s">
        <v>5163</v>
      </c>
      <c r="AB352" s="18" t="s">
        <v>179</v>
      </c>
      <c r="AC352" s="18" t="s">
        <v>5127</v>
      </c>
      <c r="AD352" s="18" t="s">
        <v>5127</v>
      </c>
      <c r="AE352" s="18" t="s">
        <v>5127</v>
      </c>
      <c r="AF352" s="18" t="s">
        <v>5127</v>
      </c>
      <c r="AG352" s="18" t="s">
        <v>5127</v>
      </c>
      <c r="AH352" s="18" t="s">
        <v>5127</v>
      </c>
      <c r="AI352" s="18">
        <v>1</v>
      </c>
      <c r="AK352" s="18" t="s">
        <v>5164</v>
      </c>
      <c r="AN352" s="18">
        <v>419</v>
      </c>
      <c r="AO352" s="18" t="s">
        <v>5186</v>
      </c>
      <c r="AP352" s="18" t="s">
        <v>6312</v>
      </c>
      <c r="AQ352" s="18" t="s">
        <v>5236</v>
      </c>
      <c r="AR352" s="18" t="s">
        <v>5168</v>
      </c>
      <c r="AT352" s="17">
        <f>(365*D352*0.7)/1000</f>
        <v>1517.4145000000001</v>
      </c>
      <c r="AU352" s="17">
        <f t="shared" si="17"/>
        <v>151</v>
      </c>
      <c r="AV352" s="18">
        <v>151</v>
      </c>
      <c r="AW352" s="18">
        <v>0</v>
      </c>
      <c r="AY352" s="18" t="s">
        <v>5334</v>
      </c>
      <c r="AZ352" s="18">
        <v>0</v>
      </c>
      <c r="BA352" s="18">
        <v>0</v>
      </c>
      <c r="BB352" s="18">
        <v>0</v>
      </c>
      <c r="BD352" s="18">
        <f>500/1000</f>
        <v>0.5</v>
      </c>
      <c r="BE352" s="18">
        <v>0</v>
      </c>
      <c r="BG352" s="18" t="s">
        <v>5169</v>
      </c>
      <c r="BQ352" s="18">
        <v>122</v>
      </c>
      <c r="BR352" s="18">
        <v>79</v>
      </c>
      <c r="BS352" s="18">
        <v>41</v>
      </c>
      <c r="BT352" s="18">
        <v>26</v>
      </c>
      <c r="BU352" s="18">
        <v>2</v>
      </c>
      <c r="BV352" s="18">
        <f t="shared" si="20"/>
        <v>270</v>
      </c>
      <c r="BW352" s="15">
        <f t="shared" si="18"/>
        <v>270</v>
      </c>
      <c r="BY352" s="18" t="s">
        <v>5239</v>
      </c>
      <c r="BZ352" s="18" t="s">
        <v>5312</v>
      </c>
      <c r="CD352" s="18" t="s">
        <v>5127</v>
      </c>
      <c r="CE352" s="18" t="s">
        <v>5127</v>
      </c>
      <c r="CF352" s="18" t="s">
        <v>5135</v>
      </c>
      <c r="CG352" s="18" t="s">
        <v>5427</v>
      </c>
      <c r="CH352" s="18" t="s">
        <v>5556</v>
      </c>
      <c r="CI352" s="18" t="s">
        <v>5138</v>
      </c>
      <c r="CJ352" s="18" t="s">
        <v>5680</v>
      </c>
      <c r="CK352" s="18" t="s">
        <v>5197</v>
      </c>
      <c r="CL352" s="18">
        <v>2</v>
      </c>
      <c r="CM352" s="18">
        <v>1</v>
      </c>
      <c r="CN352" s="18">
        <v>1</v>
      </c>
      <c r="CO352" s="18">
        <v>1</v>
      </c>
      <c r="CP352" s="18">
        <v>1</v>
      </c>
      <c r="CQ352" s="18">
        <v>1</v>
      </c>
      <c r="CR352" s="18">
        <v>0</v>
      </c>
      <c r="CS352" s="18" t="s">
        <v>5141</v>
      </c>
      <c r="CT352" s="18">
        <v>0</v>
      </c>
      <c r="CU352" s="18">
        <v>1</v>
      </c>
      <c r="CV352" s="18" t="s">
        <v>5141</v>
      </c>
      <c r="CX352" s="18">
        <v>2</v>
      </c>
      <c r="CY352" s="18">
        <v>4</v>
      </c>
      <c r="CZ352" s="18">
        <v>2</v>
      </c>
      <c r="DA352" s="18">
        <v>1</v>
      </c>
      <c r="DB352" s="18">
        <v>2</v>
      </c>
      <c r="DC352" s="18">
        <v>1</v>
      </c>
      <c r="DD352" s="18">
        <v>1</v>
      </c>
      <c r="DE352" s="18">
        <v>2</v>
      </c>
      <c r="DF352" s="18" t="s">
        <v>5141</v>
      </c>
      <c r="DG352" s="18">
        <v>1</v>
      </c>
      <c r="DH352" s="18">
        <v>2</v>
      </c>
      <c r="DI352" s="18" t="s">
        <v>5141</v>
      </c>
      <c r="DK352" s="18">
        <v>0</v>
      </c>
      <c r="DL352" s="18">
        <v>1</v>
      </c>
      <c r="DM352" s="18" t="s">
        <v>5127</v>
      </c>
      <c r="DN352" s="18" t="s">
        <v>5172</v>
      </c>
      <c r="DO352" s="18" t="s">
        <v>5585</v>
      </c>
      <c r="DP352" s="18" t="s">
        <v>113</v>
      </c>
      <c r="DS352" s="18">
        <v>0</v>
      </c>
      <c r="DT352" s="18">
        <v>1</v>
      </c>
      <c r="DU352" s="18">
        <v>0</v>
      </c>
      <c r="DV352" s="18" t="s">
        <v>5260</v>
      </c>
      <c r="DX352" s="18" t="s">
        <v>5201</v>
      </c>
      <c r="DY352" s="18" t="s">
        <v>106</v>
      </c>
      <c r="DZ352" s="18" t="s">
        <v>106</v>
      </c>
      <c r="EA352" s="18" t="s">
        <v>5243</v>
      </c>
      <c r="EB352" s="18">
        <v>268</v>
      </c>
      <c r="EC352" s="18" t="s">
        <v>113</v>
      </c>
      <c r="ED352" s="18" t="s">
        <v>5147</v>
      </c>
      <c r="EE352" s="18" t="s">
        <v>106</v>
      </c>
      <c r="EF352" s="18" t="s">
        <v>113</v>
      </c>
      <c r="EG352" s="18" t="s">
        <v>5148</v>
      </c>
      <c r="EH352" s="18" t="s">
        <v>5203</v>
      </c>
      <c r="EI352" s="18" t="s">
        <v>5204</v>
      </c>
      <c r="EJ352" s="18" t="s">
        <v>6313</v>
      </c>
      <c r="EK352" s="18" t="s">
        <v>113</v>
      </c>
      <c r="EM352" s="18" t="s">
        <v>5514</v>
      </c>
      <c r="EN352" s="18" t="s">
        <v>113</v>
      </c>
      <c r="EO352" s="18" t="s">
        <v>113</v>
      </c>
      <c r="EP352" s="18" t="s">
        <v>113</v>
      </c>
      <c r="EQ352" s="18" t="s">
        <v>106</v>
      </c>
      <c r="ER352" s="18" t="s">
        <v>5289</v>
      </c>
      <c r="ES352" s="18" t="s">
        <v>5737</v>
      </c>
      <c r="ET352" s="18" t="s">
        <v>5154</v>
      </c>
      <c r="EU352" s="18" t="s">
        <v>5155</v>
      </c>
      <c r="EV352" s="18" t="s">
        <v>5967</v>
      </c>
      <c r="EW352" s="18" t="s">
        <v>5766</v>
      </c>
      <c r="EX352" s="18" t="s">
        <v>5158</v>
      </c>
      <c r="EY352" s="18" t="s">
        <v>5438</v>
      </c>
      <c r="EZ352" s="18" t="s">
        <v>5160</v>
      </c>
      <c r="FA352" s="18" t="s">
        <v>144</v>
      </c>
      <c r="FB352" s="18" t="s">
        <v>5161</v>
      </c>
    </row>
    <row r="353" spans="1:158" ht="10.5" customHeight="1" x14ac:dyDescent="0.2">
      <c r="A353" s="16">
        <v>41</v>
      </c>
      <c r="B353" s="16" t="s">
        <v>3339</v>
      </c>
      <c r="C353" s="16" t="s">
        <v>3338</v>
      </c>
      <c r="D353" s="16">
        <v>96602</v>
      </c>
      <c r="E353" s="16" t="s">
        <v>6658</v>
      </c>
      <c r="F353" s="18" t="s">
        <v>3338</v>
      </c>
      <c r="G353" s="18" t="s">
        <v>106</v>
      </c>
      <c r="H353" s="15" t="s">
        <v>5127</v>
      </c>
      <c r="I353" s="18">
        <v>41</v>
      </c>
      <c r="J353" s="18">
        <v>28</v>
      </c>
      <c r="K353" s="18">
        <v>13</v>
      </c>
      <c r="L353" s="18">
        <v>0</v>
      </c>
      <c r="M353" s="18" t="s">
        <v>5183</v>
      </c>
      <c r="N353" s="18">
        <v>308470</v>
      </c>
      <c r="O353" s="18">
        <v>47053</v>
      </c>
      <c r="T353" s="18" t="s">
        <v>5546</v>
      </c>
      <c r="U353" s="18" t="s">
        <v>5185</v>
      </c>
      <c r="V353" s="18" t="s">
        <v>106</v>
      </c>
      <c r="W353" s="18" t="s">
        <v>5211</v>
      </c>
      <c r="Y353" s="18" t="s">
        <v>5232</v>
      </c>
      <c r="Z353" s="18" t="s">
        <v>106</v>
      </c>
      <c r="AA353" s="18" t="s">
        <v>5163</v>
      </c>
      <c r="AB353" s="18" t="s">
        <v>5213</v>
      </c>
      <c r="AC353" s="18" t="s">
        <v>5127</v>
      </c>
      <c r="AD353" s="18" t="s">
        <v>5127</v>
      </c>
      <c r="AE353" s="18" t="s">
        <v>5127</v>
      </c>
      <c r="AF353" s="18" t="s">
        <v>5127</v>
      </c>
      <c r="AG353" s="18" t="s">
        <v>5127</v>
      </c>
      <c r="AH353" s="18" t="s">
        <v>5127</v>
      </c>
      <c r="AI353" s="18">
        <v>3</v>
      </c>
      <c r="AK353" s="18" t="s">
        <v>5164</v>
      </c>
      <c r="AN353" s="18">
        <v>2206</v>
      </c>
      <c r="AO353" s="18" t="s">
        <v>5186</v>
      </c>
      <c r="AP353" s="18" t="s">
        <v>6314</v>
      </c>
      <c r="AQ353" s="18" t="s">
        <v>164</v>
      </c>
      <c r="AR353" s="18" t="s">
        <v>179</v>
      </c>
      <c r="AT353" s="17">
        <f>(365*D353*0.7)/1000</f>
        <v>24681.811000000002</v>
      </c>
      <c r="AU353" s="17">
        <f t="shared" si="17"/>
        <v>1016</v>
      </c>
      <c r="AV353" s="18">
        <v>1016</v>
      </c>
      <c r="AW353" s="18">
        <v>0</v>
      </c>
      <c r="AY353" s="18" t="s">
        <v>5334</v>
      </c>
      <c r="BG353" s="18" t="s">
        <v>164</v>
      </c>
      <c r="BQ353" s="18">
        <v>172.9</v>
      </c>
      <c r="BR353" s="18">
        <v>172.9</v>
      </c>
      <c r="BS353" s="18">
        <v>21.62</v>
      </c>
      <c r="BT353" s="18">
        <v>43.24</v>
      </c>
      <c r="BU353" s="18">
        <v>21.62</v>
      </c>
      <c r="BV353" s="18">
        <f t="shared" si="20"/>
        <v>432.28000000000003</v>
      </c>
      <c r="BW353" s="15">
        <f t="shared" si="18"/>
        <v>432.28000000000003</v>
      </c>
      <c r="BY353" s="18" t="s">
        <v>5239</v>
      </c>
      <c r="BZ353" s="18" t="s">
        <v>5192</v>
      </c>
      <c r="CD353" s="18" t="s">
        <v>5127</v>
      </c>
      <c r="CE353" s="18" t="s">
        <v>5127</v>
      </c>
      <c r="CF353" s="18" t="s">
        <v>5282</v>
      </c>
      <c r="CG353" s="18" t="s">
        <v>6315</v>
      </c>
      <c r="CH353" s="18" t="s">
        <v>111</v>
      </c>
      <c r="CI353" s="18" t="s">
        <v>5138</v>
      </c>
      <c r="CJ353" s="18" t="s">
        <v>5196</v>
      </c>
      <c r="CK353" s="18" t="s">
        <v>5625</v>
      </c>
      <c r="CL353" s="18">
        <v>5</v>
      </c>
      <c r="CM353" s="18">
        <v>1</v>
      </c>
      <c r="CN353" s="18">
        <v>0</v>
      </c>
      <c r="CO353" s="18">
        <v>0</v>
      </c>
      <c r="CP353" s="18">
        <v>0</v>
      </c>
      <c r="CQ353" s="18">
        <v>0</v>
      </c>
      <c r="CR353" s="18">
        <v>0</v>
      </c>
      <c r="CS353" s="18" t="s">
        <v>5141</v>
      </c>
      <c r="CT353" s="18">
        <v>1</v>
      </c>
      <c r="CU353" s="18">
        <v>0</v>
      </c>
      <c r="CV353" s="18">
        <v>1</v>
      </c>
      <c r="CX353" s="18">
        <v>1</v>
      </c>
      <c r="CY353" s="18">
        <v>0</v>
      </c>
      <c r="CZ353" s="18">
        <v>1</v>
      </c>
      <c r="DA353" s="18">
        <v>2</v>
      </c>
      <c r="DB353" s="18">
        <v>1</v>
      </c>
      <c r="DC353" s="18">
        <v>1</v>
      </c>
      <c r="DD353" s="18">
        <v>1</v>
      </c>
      <c r="DE353" s="18">
        <v>1</v>
      </c>
      <c r="DF353" s="18">
        <v>2</v>
      </c>
      <c r="DG353" s="18">
        <v>1</v>
      </c>
      <c r="DH353" s="18">
        <v>1</v>
      </c>
      <c r="DI353" s="18">
        <v>1</v>
      </c>
      <c r="DK353" s="18">
        <v>0</v>
      </c>
      <c r="DL353" s="18">
        <v>1</v>
      </c>
      <c r="DM353" s="18" t="s">
        <v>5127</v>
      </c>
      <c r="DN353" s="18" t="s">
        <v>5172</v>
      </c>
      <c r="DO353" s="18" t="s">
        <v>5315</v>
      </c>
      <c r="DP353" s="18" t="s">
        <v>113</v>
      </c>
      <c r="DS353" s="18">
        <v>0</v>
      </c>
      <c r="DT353" s="18">
        <v>1</v>
      </c>
      <c r="DU353" s="18">
        <v>1</v>
      </c>
      <c r="DV353" s="18" t="s">
        <v>5377</v>
      </c>
      <c r="DX353" s="18" t="s">
        <v>5145</v>
      </c>
      <c r="DY353" s="18" t="s">
        <v>106</v>
      </c>
      <c r="DZ353" s="18" t="s">
        <v>106</v>
      </c>
      <c r="EA353" s="18" t="s">
        <v>5243</v>
      </c>
      <c r="EB353" s="18">
        <v>1190</v>
      </c>
      <c r="EC353" s="18" t="s">
        <v>106</v>
      </c>
      <c r="ED353" s="18" t="s">
        <v>5147</v>
      </c>
      <c r="EE353" s="18" t="s">
        <v>106</v>
      </c>
      <c r="EF353" s="18" t="s">
        <v>113</v>
      </c>
      <c r="EG353" s="18" t="s">
        <v>5148</v>
      </c>
      <c r="EH353" s="18" t="s">
        <v>5203</v>
      </c>
      <c r="EI353" s="18" t="s">
        <v>5204</v>
      </c>
      <c r="EJ353" s="18" t="s">
        <v>5361</v>
      </c>
      <c r="EN353" s="18" t="s">
        <v>113</v>
      </c>
      <c r="EO353" s="18" t="s">
        <v>113</v>
      </c>
      <c r="EP353" s="18" t="s">
        <v>113</v>
      </c>
      <c r="EQ353" s="18" t="s">
        <v>113</v>
      </c>
      <c r="ER353" s="18" t="s">
        <v>5206</v>
      </c>
      <c r="ES353" s="18" t="s">
        <v>5153</v>
      </c>
      <c r="EX353" s="18" t="s">
        <v>5158</v>
      </c>
      <c r="EY353" s="18" t="s">
        <v>5800</v>
      </c>
      <c r="EZ353" s="18" t="s">
        <v>5160</v>
      </c>
      <c r="FA353" s="18" t="s">
        <v>144</v>
      </c>
      <c r="FB353" s="18" t="s">
        <v>5161</v>
      </c>
    </row>
    <row r="354" spans="1:158" ht="10.5" customHeight="1" x14ac:dyDescent="0.2">
      <c r="A354" s="16">
        <v>41</v>
      </c>
      <c r="B354" s="16" t="s">
        <v>1834</v>
      </c>
      <c r="C354" s="16" t="s">
        <v>1835</v>
      </c>
      <c r="D354" s="16">
        <v>5778</v>
      </c>
      <c r="E354" s="16" t="s">
        <v>6656</v>
      </c>
      <c r="H354" s="15" t="s">
        <v>6661</v>
      </c>
      <c r="AT354" s="17">
        <f>(365*D354*0.7)/1000</f>
        <v>1476.279</v>
      </c>
      <c r="AU354" s="17">
        <f t="shared" si="17"/>
        <v>0</v>
      </c>
      <c r="BW354" s="15">
        <f t="shared" si="18"/>
        <v>0</v>
      </c>
    </row>
    <row r="355" spans="1:158" ht="10.5" customHeight="1" x14ac:dyDescent="0.2">
      <c r="A355" s="16">
        <v>41</v>
      </c>
      <c r="B355" s="16" t="s">
        <v>3361</v>
      </c>
      <c r="C355" s="16" t="s">
        <v>3360</v>
      </c>
      <c r="D355" s="16">
        <v>6369</v>
      </c>
      <c r="E355" s="16" t="s">
        <v>6656</v>
      </c>
      <c r="H355" s="15" t="s">
        <v>6661</v>
      </c>
      <c r="AT355" s="17">
        <f>(365*D355*0.7)/1000</f>
        <v>1627.2795000000001</v>
      </c>
      <c r="AU355" s="17">
        <f t="shared" si="17"/>
        <v>0</v>
      </c>
      <c r="BW355" s="15">
        <f t="shared" si="18"/>
        <v>0</v>
      </c>
    </row>
    <row r="356" spans="1:158" ht="10.5" customHeight="1" x14ac:dyDescent="0.2">
      <c r="A356" s="16">
        <v>41</v>
      </c>
      <c r="B356" s="16" t="s">
        <v>3372</v>
      </c>
      <c r="C356" s="16" t="s">
        <v>3371</v>
      </c>
      <c r="D356" s="16">
        <v>13496</v>
      </c>
      <c r="E356" s="16" t="s">
        <v>6656</v>
      </c>
      <c r="H356" s="15" t="s">
        <v>6661</v>
      </c>
      <c r="AT356" s="17">
        <f>(365*D356*0.7)/1000</f>
        <v>3448.2280000000001</v>
      </c>
      <c r="AU356" s="17">
        <f t="shared" si="17"/>
        <v>0</v>
      </c>
      <c r="BW356" s="15">
        <f t="shared" si="18"/>
        <v>0</v>
      </c>
    </row>
    <row r="357" spans="1:158" ht="10.5" customHeight="1" x14ac:dyDescent="0.2">
      <c r="A357" s="16">
        <v>41</v>
      </c>
      <c r="B357" s="16" t="s">
        <v>3388</v>
      </c>
      <c r="C357" s="16" t="s">
        <v>3387</v>
      </c>
      <c r="D357" s="16">
        <v>7496</v>
      </c>
      <c r="E357" s="16" t="s">
        <v>6656</v>
      </c>
      <c r="H357" s="15" t="s">
        <v>6661</v>
      </c>
      <c r="AT357" s="17">
        <f>(365*D357*0.7)/1000</f>
        <v>1915.2279999999998</v>
      </c>
      <c r="AU357" s="17">
        <f t="shared" si="17"/>
        <v>0</v>
      </c>
      <c r="BW357" s="15">
        <f t="shared" si="18"/>
        <v>0</v>
      </c>
    </row>
    <row r="358" spans="1:158" ht="10.5" customHeight="1" x14ac:dyDescent="0.2">
      <c r="A358" s="16">
        <v>41</v>
      </c>
      <c r="B358" s="16" t="s">
        <v>3394</v>
      </c>
      <c r="C358" s="16" t="s">
        <v>3393</v>
      </c>
      <c r="D358" s="16">
        <v>12275</v>
      </c>
      <c r="E358" s="16" t="s">
        <v>6656</v>
      </c>
      <c r="F358" s="18" t="s">
        <v>3393</v>
      </c>
      <c r="G358" s="18" t="s">
        <v>113</v>
      </c>
      <c r="H358" s="15" t="s">
        <v>111</v>
      </c>
      <c r="AT358" s="17">
        <f>(365*D358*0.7)/1000</f>
        <v>3136.2624999999998</v>
      </c>
      <c r="AU358" s="17">
        <f t="shared" si="17"/>
        <v>0</v>
      </c>
      <c r="BW358" s="15">
        <f t="shared" si="18"/>
        <v>0</v>
      </c>
    </row>
    <row r="359" spans="1:158" ht="10.5" customHeight="1" x14ac:dyDescent="0.2">
      <c r="A359" s="16">
        <v>41</v>
      </c>
      <c r="B359" s="16" t="s">
        <v>1955</v>
      </c>
      <c r="C359" s="16" t="s">
        <v>1956</v>
      </c>
      <c r="D359" s="16">
        <v>6235</v>
      </c>
      <c r="E359" s="16" t="s">
        <v>6656</v>
      </c>
      <c r="H359" s="15" t="s">
        <v>6661</v>
      </c>
      <c r="AT359" s="17">
        <f>(365*D359*0.7)/1000</f>
        <v>1593.0425</v>
      </c>
      <c r="AU359" s="17">
        <f t="shared" si="17"/>
        <v>0</v>
      </c>
      <c r="BW359" s="15">
        <f t="shared" si="18"/>
        <v>0</v>
      </c>
    </row>
    <row r="360" spans="1:158" ht="10.5" customHeight="1" x14ac:dyDescent="0.2">
      <c r="A360" s="16">
        <v>41</v>
      </c>
      <c r="B360" s="16" t="s">
        <v>3414</v>
      </c>
      <c r="C360" s="16" t="s">
        <v>3413</v>
      </c>
      <c r="D360" s="16">
        <v>14179</v>
      </c>
      <c r="E360" s="16" t="s">
        <v>6656</v>
      </c>
      <c r="F360" s="18" t="s">
        <v>3413</v>
      </c>
      <c r="G360" s="18" t="s">
        <v>106</v>
      </c>
      <c r="H360" s="15" t="s">
        <v>5127</v>
      </c>
      <c r="I360" s="18">
        <v>5</v>
      </c>
      <c r="J360" s="18">
        <v>3</v>
      </c>
      <c r="K360" s="18">
        <v>2</v>
      </c>
      <c r="M360" s="18" t="s">
        <v>5183</v>
      </c>
      <c r="N360" s="18">
        <v>254749</v>
      </c>
      <c r="T360" s="18" t="s">
        <v>111</v>
      </c>
      <c r="U360" s="18" t="s">
        <v>5123</v>
      </c>
      <c r="V360" s="18" t="s">
        <v>106</v>
      </c>
      <c r="W360" s="18" t="s">
        <v>5211</v>
      </c>
      <c r="Y360" s="18" t="s">
        <v>5232</v>
      </c>
      <c r="Z360" s="18" t="s">
        <v>106</v>
      </c>
      <c r="AA360" s="18" t="s">
        <v>5267</v>
      </c>
      <c r="AC360" s="18" t="s">
        <v>5127</v>
      </c>
      <c r="AD360" s="18" t="s">
        <v>5127</v>
      </c>
      <c r="AE360" s="18" t="s">
        <v>111</v>
      </c>
      <c r="AF360" s="18" t="s">
        <v>111</v>
      </c>
      <c r="AG360" s="18" t="s">
        <v>5127</v>
      </c>
      <c r="AH360" s="18" t="s">
        <v>111</v>
      </c>
      <c r="AI360" s="18">
        <v>1</v>
      </c>
      <c r="AK360" s="18" t="s">
        <v>5164</v>
      </c>
      <c r="AN360" s="18">
        <v>0</v>
      </c>
      <c r="AO360" s="18" t="s">
        <v>5186</v>
      </c>
      <c r="AP360" s="18" t="s">
        <v>6316</v>
      </c>
      <c r="AQ360" s="18" t="s">
        <v>6317</v>
      </c>
      <c r="AR360" s="18" t="s">
        <v>5168</v>
      </c>
      <c r="AT360" s="17">
        <f>(365*D360*0.7)/1000</f>
        <v>3622.7345</v>
      </c>
      <c r="AU360" s="17">
        <f t="shared" si="17"/>
        <v>45</v>
      </c>
      <c r="AV360" s="18">
        <v>45</v>
      </c>
      <c r="AW360" s="18">
        <v>0</v>
      </c>
      <c r="AY360" s="18" t="s">
        <v>5253</v>
      </c>
      <c r="BG360" s="18" t="s">
        <v>5238</v>
      </c>
      <c r="BQ360" s="18">
        <v>55</v>
      </c>
      <c r="BR360" s="18">
        <v>45</v>
      </c>
      <c r="BS360" s="18">
        <v>23</v>
      </c>
      <c r="BT360" s="18">
        <v>25</v>
      </c>
      <c r="BU360" s="18">
        <v>20</v>
      </c>
      <c r="BV360" s="18">
        <v>168</v>
      </c>
      <c r="BW360" s="15">
        <f t="shared" si="18"/>
        <v>168</v>
      </c>
      <c r="BY360" s="18" t="s">
        <v>5134</v>
      </c>
      <c r="BZ360" s="18" t="s">
        <v>5192</v>
      </c>
      <c r="CD360" s="18" t="s">
        <v>5127</v>
      </c>
      <c r="CE360" s="18" t="s">
        <v>111</v>
      </c>
      <c r="CF360" s="18" t="s">
        <v>5135</v>
      </c>
      <c r="CG360" s="18" t="s">
        <v>6318</v>
      </c>
      <c r="CH360" s="18" t="s">
        <v>5284</v>
      </c>
      <c r="CI360" s="18" t="s">
        <v>111</v>
      </c>
      <c r="CJ360" s="18" t="s">
        <v>5196</v>
      </c>
      <c r="CK360" s="18" t="s">
        <v>5256</v>
      </c>
      <c r="CL360" s="18">
        <v>1</v>
      </c>
      <c r="CM360" s="18">
        <v>0</v>
      </c>
      <c r="CN360" s="18">
        <v>0</v>
      </c>
      <c r="CO360" s="18">
        <v>1</v>
      </c>
      <c r="CP360" s="18">
        <v>1</v>
      </c>
      <c r="CQ360" s="18">
        <v>0</v>
      </c>
      <c r="CR360" s="18">
        <v>2</v>
      </c>
      <c r="CS360" s="18" t="s">
        <v>5141</v>
      </c>
      <c r="CT360" s="18">
        <v>0</v>
      </c>
      <c r="CU360" s="18">
        <v>1</v>
      </c>
      <c r="CV360" s="18">
        <v>0</v>
      </c>
      <c r="CX360" s="18">
        <v>1</v>
      </c>
      <c r="CY360" s="18">
        <v>1</v>
      </c>
      <c r="CZ360" s="18">
        <v>1</v>
      </c>
      <c r="DA360" s="18">
        <v>1</v>
      </c>
      <c r="DB360" s="18">
        <v>1</v>
      </c>
      <c r="DC360" s="18">
        <v>1</v>
      </c>
      <c r="DD360" s="18">
        <v>1</v>
      </c>
      <c r="DE360" s="18" t="s">
        <v>5141</v>
      </c>
      <c r="DF360" s="18" t="s">
        <v>5141</v>
      </c>
      <c r="DG360" s="18">
        <v>1</v>
      </c>
      <c r="DH360" s="18">
        <v>1</v>
      </c>
      <c r="DI360" s="18">
        <v>1</v>
      </c>
      <c r="DK360" s="18">
        <v>0</v>
      </c>
      <c r="DL360" s="18">
        <v>1</v>
      </c>
      <c r="DM360" s="18" t="s">
        <v>5127</v>
      </c>
      <c r="DN360" s="18" t="s">
        <v>5172</v>
      </c>
      <c r="DO360" s="18" t="s">
        <v>5371</v>
      </c>
      <c r="DP360" s="18" t="s">
        <v>113</v>
      </c>
      <c r="DQ360" s="18" t="s">
        <v>5168</v>
      </c>
      <c r="DS360" s="18">
        <v>0</v>
      </c>
      <c r="DT360" s="18">
        <v>0</v>
      </c>
      <c r="DU360" s="18">
        <v>1</v>
      </c>
      <c r="DV360" s="18" t="s">
        <v>5444</v>
      </c>
      <c r="DX360" s="18" t="s">
        <v>5201</v>
      </c>
      <c r="DY360" s="18" t="s">
        <v>106</v>
      </c>
      <c r="DZ360" s="18" t="s">
        <v>113</v>
      </c>
      <c r="EA360" s="18" t="s">
        <v>5202</v>
      </c>
      <c r="EB360" s="18">
        <v>168</v>
      </c>
      <c r="EC360" s="18" t="s">
        <v>106</v>
      </c>
      <c r="ED360" s="18" t="s">
        <v>5176</v>
      </c>
      <c r="EF360" s="18" t="s">
        <v>106</v>
      </c>
      <c r="EG360" s="18" t="s">
        <v>5148</v>
      </c>
      <c r="EH360" s="18" t="s">
        <v>5203</v>
      </c>
      <c r="EI360" s="18" t="s">
        <v>5204</v>
      </c>
      <c r="EJ360" s="18" t="s">
        <v>5177</v>
      </c>
      <c r="EK360" s="18" t="s">
        <v>113</v>
      </c>
      <c r="EM360" s="18" t="s">
        <v>5227</v>
      </c>
      <c r="EN360" s="18" t="s">
        <v>113</v>
      </c>
      <c r="EO360" s="18" t="s">
        <v>113</v>
      </c>
      <c r="EP360" s="18" t="s">
        <v>113</v>
      </c>
      <c r="EQ360" s="18" t="s">
        <v>113</v>
      </c>
      <c r="ER360" s="18" t="s">
        <v>5155</v>
      </c>
      <c r="ES360" s="18" t="s">
        <v>5461</v>
      </c>
      <c r="ET360" s="18" t="s">
        <v>5154</v>
      </c>
      <c r="EU360" s="18" t="s">
        <v>5318</v>
      </c>
      <c r="EV360" s="18" t="s">
        <v>5276</v>
      </c>
      <c r="EW360" s="18" t="s">
        <v>5563</v>
      </c>
      <c r="EX360" s="18" t="s">
        <v>5158</v>
      </c>
      <c r="EY360" s="18" t="s">
        <v>5181</v>
      </c>
      <c r="EZ360" s="18" t="s">
        <v>5160</v>
      </c>
    </row>
    <row r="361" spans="1:158" ht="10.5" customHeight="1" x14ac:dyDescent="0.2">
      <c r="A361" s="16">
        <v>41</v>
      </c>
      <c r="B361" s="16" t="s">
        <v>3426</v>
      </c>
      <c r="C361" s="16" t="s">
        <v>3425</v>
      </c>
      <c r="D361" s="16">
        <v>131199</v>
      </c>
      <c r="E361" s="16" t="s">
        <v>6657</v>
      </c>
      <c r="F361" s="18" t="s">
        <v>3425</v>
      </c>
      <c r="G361" s="18" t="s">
        <v>106</v>
      </c>
      <c r="H361" s="15" t="s">
        <v>5127</v>
      </c>
      <c r="I361" s="18">
        <v>23</v>
      </c>
      <c r="J361" s="18">
        <v>14</v>
      </c>
      <c r="K361" s="18">
        <v>9</v>
      </c>
      <c r="M361" s="18" t="s">
        <v>5183</v>
      </c>
      <c r="N361" s="18" t="s">
        <v>6319</v>
      </c>
      <c r="O361" s="18">
        <v>46325</v>
      </c>
      <c r="T361" s="18" t="s">
        <v>6320</v>
      </c>
      <c r="U361" s="18" t="s">
        <v>5185</v>
      </c>
      <c r="V361" s="18" t="s">
        <v>106</v>
      </c>
      <c r="W361" s="18" t="s">
        <v>5124</v>
      </c>
      <c r="Y361" s="18" t="s">
        <v>5232</v>
      </c>
      <c r="Z361" s="18" t="s">
        <v>106</v>
      </c>
      <c r="AA361" s="18" t="s">
        <v>5163</v>
      </c>
      <c r="AB361" s="18" t="s">
        <v>179</v>
      </c>
      <c r="AC361" s="18" t="s">
        <v>5127</v>
      </c>
      <c r="AD361" s="18" t="s">
        <v>5127</v>
      </c>
      <c r="AE361" s="18" t="s">
        <v>5127</v>
      </c>
      <c r="AF361" s="18" t="s">
        <v>111</v>
      </c>
      <c r="AG361" s="18" t="s">
        <v>5127</v>
      </c>
      <c r="AH361" s="18" t="s">
        <v>5127</v>
      </c>
      <c r="AI361" s="18">
        <v>1</v>
      </c>
      <c r="AK361" s="18" t="s">
        <v>5164</v>
      </c>
      <c r="AN361" s="18">
        <v>0</v>
      </c>
      <c r="AO361" s="18" t="s">
        <v>5186</v>
      </c>
      <c r="AP361" s="18" t="s">
        <v>6321</v>
      </c>
      <c r="AQ361" s="18" t="s">
        <v>5252</v>
      </c>
      <c r="AR361" s="18" t="s">
        <v>5168</v>
      </c>
      <c r="AT361" s="17">
        <f>(365*D361*0.7)/1000</f>
        <v>33521.344499999999</v>
      </c>
      <c r="AU361" s="17">
        <f t="shared" si="17"/>
        <v>360</v>
      </c>
      <c r="AV361" s="18">
        <v>360</v>
      </c>
      <c r="AW361" s="18" t="s">
        <v>220</v>
      </c>
      <c r="AY361" s="18" t="s">
        <v>6322</v>
      </c>
      <c r="AZ361" s="18">
        <v>0</v>
      </c>
      <c r="BA361" s="18">
        <v>0</v>
      </c>
      <c r="BB361" s="18">
        <v>0</v>
      </c>
      <c r="BD361" s="18">
        <v>0</v>
      </c>
      <c r="BE361" s="18">
        <v>0</v>
      </c>
      <c r="BG361" s="18" t="s">
        <v>5190</v>
      </c>
      <c r="BH361" s="18">
        <v>0</v>
      </c>
      <c r="BI361" s="18">
        <v>0</v>
      </c>
      <c r="BJ361" s="18">
        <v>0</v>
      </c>
      <c r="BQ361" s="18">
        <v>239</v>
      </c>
      <c r="BR361" s="18">
        <v>148</v>
      </c>
      <c r="BS361" s="18">
        <v>0</v>
      </c>
      <c r="BT361" s="18">
        <v>96</v>
      </c>
      <c r="BU361" s="18">
        <v>0</v>
      </c>
      <c r="BV361" s="18">
        <f>SUM(BQ361:BU361)</f>
        <v>483</v>
      </c>
      <c r="BW361" s="15">
        <f t="shared" si="18"/>
        <v>483</v>
      </c>
      <c r="BY361" s="18" t="s">
        <v>5134</v>
      </c>
      <c r="BZ361" s="18" t="s">
        <v>5688</v>
      </c>
      <c r="CD361" s="18" t="s">
        <v>5127</v>
      </c>
      <c r="CE361" s="18" t="s">
        <v>111</v>
      </c>
      <c r="CF361" s="18" t="s">
        <v>5282</v>
      </c>
      <c r="CG361" s="18" t="s">
        <v>5193</v>
      </c>
      <c r="CH361" s="18" t="s">
        <v>5241</v>
      </c>
      <c r="CI361" s="18" t="s">
        <v>5138</v>
      </c>
      <c r="CJ361" s="18" t="s">
        <v>5196</v>
      </c>
      <c r="CK361" s="18" t="s">
        <v>5197</v>
      </c>
      <c r="CL361" s="18">
        <v>2</v>
      </c>
      <c r="CM361" s="18">
        <v>0</v>
      </c>
      <c r="CN361" s="18">
        <v>0</v>
      </c>
      <c r="CO361" s="18">
        <v>1</v>
      </c>
      <c r="CP361" s="18">
        <v>1</v>
      </c>
      <c r="CQ361" s="18">
        <v>1</v>
      </c>
      <c r="CR361" s="18">
        <v>0</v>
      </c>
      <c r="CS361" s="18" t="s">
        <v>5141</v>
      </c>
      <c r="CT361" s="18">
        <v>0</v>
      </c>
      <c r="CU361" s="18">
        <v>1</v>
      </c>
      <c r="CV361" s="18">
        <v>0</v>
      </c>
      <c r="CX361" s="18">
        <v>1</v>
      </c>
      <c r="CY361" s="18">
        <v>2</v>
      </c>
      <c r="CZ361" s="18">
        <v>1</v>
      </c>
      <c r="DA361" s="18">
        <v>1</v>
      </c>
      <c r="DB361" s="18">
        <v>1</v>
      </c>
      <c r="DC361" s="18">
        <v>1</v>
      </c>
      <c r="DD361" s="18">
        <v>1</v>
      </c>
      <c r="DE361" s="18">
        <v>0</v>
      </c>
      <c r="DF361" s="18" t="s">
        <v>5141</v>
      </c>
      <c r="DG361" s="18">
        <v>1</v>
      </c>
      <c r="DH361" s="18">
        <v>2</v>
      </c>
      <c r="DI361" s="18">
        <v>2</v>
      </c>
      <c r="DK361" s="18">
        <v>0</v>
      </c>
      <c r="DL361" s="18">
        <v>2</v>
      </c>
      <c r="DM361" s="18" t="s">
        <v>5127</v>
      </c>
      <c r="DN361" s="18" t="s">
        <v>5314</v>
      </c>
      <c r="DO361" s="18" t="s">
        <v>5259</v>
      </c>
      <c r="DP361" s="18" t="s">
        <v>113</v>
      </c>
      <c r="DS361" s="18">
        <v>0</v>
      </c>
      <c r="DT361" s="18">
        <v>1</v>
      </c>
      <c r="DU361" s="18">
        <v>1</v>
      </c>
      <c r="DV361" s="18" t="s">
        <v>5144</v>
      </c>
      <c r="DX361" s="18" t="s">
        <v>5222</v>
      </c>
      <c r="DY361" s="18" t="s">
        <v>106</v>
      </c>
      <c r="DZ361" s="18" t="s">
        <v>106</v>
      </c>
      <c r="EA361" s="18" t="s">
        <v>5202</v>
      </c>
      <c r="EB361" s="18">
        <v>484</v>
      </c>
      <c r="EC361" s="18" t="s">
        <v>106</v>
      </c>
      <c r="ED361" s="18" t="s">
        <v>5176</v>
      </c>
      <c r="EE361" s="18" t="s">
        <v>106</v>
      </c>
      <c r="EF361" s="18" t="s">
        <v>106</v>
      </c>
      <c r="EG361" s="18" t="s">
        <v>5326</v>
      </c>
      <c r="EH361" s="18" t="s">
        <v>5203</v>
      </c>
      <c r="EI361" s="18" t="s">
        <v>5204</v>
      </c>
      <c r="EJ361" s="18" t="s">
        <v>6323</v>
      </c>
      <c r="EK361" s="18" t="s">
        <v>113</v>
      </c>
      <c r="EN361" s="18" t="s">
        <v>113</v>
      </c>
      <c r="EO361" s="18" t="s">
        <v>113</v>
      </c>
      <c r="EP361" s="18" t="s">
        <v>113</v>
      </c>
      <c r="EQ361" s="18" t="s">
        <v>113</v>
      </c>
      <c r="ER361" s="18" t="s">
        <v>5152</v>
      </c>
      <c r="ES361" s="18" t="s">
        <v>5153</v>
      </c>
      <c r="ET361" s="18" t="s">
        <v>5154</v>
      </c>
      <c r="EU361" s="18" t="s">
        <v>5155</v>
      </c>
      <c r="EV361" s="18" t="s">
        <v>6324</v>
      </c>
      <c r="EW361" s="18" t="s">
        <v>5380</v>
      </c>
      <c r="EX361" s="18" t="s">
        <v>5158</v>
      </c>
      <c r="EY361" s="18" t="s">
        <v>5248</v>
      </c>
      <c r="EZ361" s="18" t="s">
        <v>5182</v>
      </c>
      <c r="FA361" s="18" t="s">
        <v>144</v>
      </c>
      <c r="FB361" s="18" t="s">
        <v>5161</v>
      </c>
    </row>
    <row r="362" spans="1:158" ht="10.5" customHeight="1" x14ac:dyDescent="0.2">
      <c r="A362" s="16">
        <v>41</v>
      </c>
      <c r="B362" s="16" t="s">
        <v>3448</v>
      </c>
      <c r="C362" s="16" t="s">
        <v>3447</v>
      </c>
      <c r="D362" s="16">
        <v>2819</v>
      </c>
      <c r="E362" s="16" t="s">
        <v>6656</v>
      </c>
      <c r="F362" s="18" t="s">
        <v>3447</v>
      </c>
      <c r="G362" s="18" t="s">
        <v>113</v>
      </c>
      <c r="H362" s="15" t="s">
        <v>111</v>
      </c>
      <c r="AT362" s="17">
        <f>(365*D362*0.7)/1000</f>
        <v>720.25450000000001</v>
      </c>
      <c r="AU362" s="17">
        <f t="shared" si="17"/>
        <v>0</v>
      </c>
      <c r="BW362" s="15">
        <f t="shared" si="18"/>
        <v>0</v>
      </c>
    </row>
    <row r="363" spans="1:158" ht="10.5" customHeight="1" x14ac:dyDescent="0.2">
      <c r="A363" s="16">
        <v>41</v>
      </c>
      <c r="B363" s="16" t="s">
        <v>3457</v>
      </c>
      <c r="C363" s="16" t="s">
        <v>3456</v>
      </c>
      <c r="D363" s="16">
        <v>6707</v>
      </c>
      <c r="E363" s="16" t="s">
        <v>6656</v>
      </c>
      <c r="F363" s="18" t="s">
        <v>3456</v>
      </c>
      <c r="G363" s="18" t="s">
        <v>113</v>
      </c>
      <c r="H363" s="15" t="s">
        <v>111</v>
      </c>
      <c r="AT363" s="17">
        <f>(365*D363*0.7)/1000</f>
        <v>1713.6385</v>
      </c>
      <c r="AU363" s="17">
        <f t="shared" si="17"/>
        <v>0</v>
      </c>
      <c r="BW363" s="15">
        <f t="shared" si="18"/>
        <v>0</v>
      </c>
    </row>
    <row r="364" spans="1:158" ht="10.5" customHeight="1" x14ac:dyDescent="0.2">
      <c r="A364" s="16">
        <v>41</v>
      </c>
      <c r="B364" s="16" t="s">
        <v>3457</v>
      </c>
      <c r="C364" s="16" t="s">
        <v>3456</v>
      </c>
      <c r="D364" s="16">
        <v>6707</v>
      </c>
      <c r="E364" s="16" t="s">
        <v>6656</v>
      </c>
      <c r="F364" s="18" t="s">
        <v>3456</v>
      </c>
      <c r="G364" s="18" t="s">
        <v>113</v>
      </c>
      <c r="H364" s="15" t="s">
        <v>111</v>
      </c>
      <c r="AT364" s="17">
        <f>(365*D364*0.7)/1000</f>
        <v>1713.6385</v>
      </c>
      <c r="AU364" s="17">
        <f t="shared" si="17"/>
        <v>0</v>
      </c>
      <c r="BW364" s="15">
        <f t="shared" si="18"/>
        <v>0</v>
      </c>
    </row>
    <row r="365" spans="1:158" ht="10.5" customHeight="1" x14ac:dyDescent="0.2">
      <c r="A365" s="16">
        <v>41</v>
      </c>
      <c r="B365" s="16" t="s">
        <v>3467</v>
      </c>
      <c r="C365" s="16" t="s">
        <v>3466</v>
      </c>
      <c r="D365" s="16">
        <v>30472</v>
      </c>
      <c r="E365" s="16" t="s">
        <v>6658</v>
      </c>
      <c r="F365" s="18" t="s">
        <v>3466</v>
      </c>
      <c r="G365" s="18" t="s">
        <v>106</v>
      </c>
      <c r="H365" s="15" t="s">
        <v>5127</v>
      </c>
      <c r="I365" s="18">
        <v>12</v>
      </c>
      <c r="J365" s="18">
        <v>8</v>
      </c>
      <c r="K365" s="18">
        <v>4</v>
      </c>
      <c r="L365" s="18">
        <v>0</v>
      </c>
      <c r="M365" s="18" t="s">
        <v>5183</v>
      </c>
      <c r="N365" s="18" t="s">
        <v>6325</v>
      </c>
      <c r="T365" s="18" t="s">
        <v>111</v>
      </c>
      <c r="U365" s="18" t="s">
        <v>5250</v>
      </c>
      <c r="V365" s="18" t="s">
        <v>106</v>
      </c>
      <c r="W365" s="18" t="s">
        <v>5211</v>
      </c>
      <c r="Y365" s="18" t="s">
        <v>5232</v>
      </c>
      <c r="Z365" s="18" t="s">
        <v>106</v>
      </c>
      <c r="AA365" s="18" t="s">
        <v>5163</v>
      </c>
      <c r="AB365" s="18" t="s">
        <v>179</v>
      </c>
      <c r="AC365" s="18" t="s">
        <v>5127</v>
      </c>
      <c r="AD365" s="18" t="s">
        <v>5127</v>
      </c>
      <c r="AE365" s="18" t="s">
        <v>5127</v>
      </c>
      <c r="AF365" s="18" t="s">
        <v>5127</v>
      </c>
      <c r="AG365" s="18" t="s">
        <v>5127</v>
      </c>
      <c r="AH365" s="18" t="s">
        <v>111</v>
      </c>
      <c r="AI365" s="18">
        <v>1</v>
      </c>
      <c r="AK365" s="18" t="s">
        <v>5164</v>
      </c>
      <c r="AN365" s="18">
        <v>0</v>
      </c>
      <c r="AO365" s="18" t="s">
        <v>5186</v>
      </c>
      <c r="AP365" s="18" t="s">
        <v>6326</v>
      </c>
      <c r="AQ365" s="18" t="s">
        <v>5269</v>
      </c>
      <c r="AR365" s="18" t="s">
        <v>5168</v>
      </c>
      <c r="AT365" s="17">
        <f>(365*D365*0.7)/1000</f>
        <v>7785.5959999999986</v>
      </c>
      <c r="AU365" s="17">
        <f t="shared" si="17"/>
        <v>720</v>
      </c>
      <c r="AV365" s="18">
        <v>720</v>
      </c>
      <c r="AW365" s="18">
        <v>0</v>
      </c>
      <c r="AY365" s="18" t="s">
        <v>164</v>
      </c>
      <c r="AZ365" s="18">
        <v>0</v>
      </c>
      <c r="BA365" s="18">
        <v>0</v>
      </c>
      <c r="BB365" s="18">
        <v>0</v>
      </c>
      <c r="BD365" s="18">
        <v>0</v>
      </c>
      <c r="BE365" s="18">
        <v>0</v>
      </c>
      <c r="BG365" s="18" t="s">
        <v>164</v>
      </c>
      <c r="BH365" s="18">
        <v>60</v>
      </c>
      <c r="BI365" s="18">
        <v>70</v>
      </c>
      <c r="BJ365" s="18">
        <v>20</v>
      </c>
      <c r="BQ365" s="18">
        <v>411</v>
      </c>
      <c r="BR365" s="18">
        <v>380</v>
      </c>
      <c r="BS365" s="18">
        <v>850</v>
      </c>
      <c r="BT365" s="18">
        <v>250</v>
      </c>
      <c r="BU365" s="18">
        <v>211</v>
      </c>
      <c r="BV365" s="18">
        <f>SUM(BQ365:BU365)</f>
        <v>2102</v>
      </c>
      <c r="BW365" s="15">
        <f t="shared" si="18"/>
        <v>2102</v>
      </c>
      <c r="BY365" s="18" t="s">
        <v>5134</v>
      </c>
      <c r="BZ365" s="18" t="s">
        <v>5816</v>
      </c>
      <c r="CD365" s="18" t="s">
        <v>5127</v>
      </c>
      <c r="CE365" s="18" t="s">
        <v>111</v>
      </c>
      <c r="CF365" s="18" t="s">
        <v>5135</v>
      </c>
      <c r="CG365" s="18" t="s">
        <v>5323</v>
      </c>
      <c r="CH365" s="18" t="s">
        <v>5241</v>
      </c>
      <c r="CI365" s="18" t="s">
        <v>5138</v>
      </c>
      <c r="CJ365" s="18" t="s">
        <v>5196</v>
      </c>
      <c r="CK365" s="18" t="s">
        <v>5197</v>
      </c>
      <c r="CL365" s="18">
        <v>1</v>
      </c>
      <c r="CM365" s="18">
        <v>1</v>
      </c>
      <c r="CN365" s="18">
        <v>0</v>
      </c>
      <c r="CO365" s="18">
        <v>1</v>
      </c>
      <c r="CP365" s="18">
        <v>1</v>
      </c>
      <c r="CQ365" s="18">
        <v>0</v>
      </c>
      <c r="CR365" s="18">
        <v>1</v>
      </c>
      <c r="CS365" s="18">
        <v>1</v>
      </c>
      <c r="CT365" s="18">
        <v>1</v>
      </c>
      <c r="CU365" s="18">
        <v>0</v>
      </c>
      <c r="CV365" s="18">
        <v>0</v>
      </c>
      <c r="CX365" s="18">
        <v>1</v>
      </c>
      <c r="CY365" s="18">
        <v>1</v>
      </c>
      <c r="CZ365" s="18">
        <v>1</v>
      </c>
      <c r="DA365" s="18">
        <v>1</v>
      </c>
      <c r="DB365" s="18">
        <v>1</v>
      </c>
      <c r="DC365" s="18">
        <v>1</v>
      </c>
      <c r="DD365" s="18">
        <v>1</v>
      </c>
      <c r="DE365" s="18">
        <v>1</v>
      </c>
      <c r="DF365" s="18">
        <v>1</v>
      </c>
      <c r="DG365" s="18">
        <v>1</v>
      </c>
      <c r="DH365" s="18">
        <v>1</v>
      </c>
      <c r="DI365" s="18">
        <v>1</v>
      </c>
      <c r="DK365" s="18">
        <v>1</v>
      </c>
      <c r="DL365" s="18">
        <v>1</v>
      </c>
      <c r="DM365" s="18" t="s">
        <v>5127</v>
      </c>
      <c r="DN365" s="18" t="s">
        <v>5172</v>
      </c>
      <c r="DO365" s="18" t="s">
        <v>5315</v>
      </c>
      <c r="DP365" s="18" t="s">
        <v>113</v>
      </c>
      <c r="DS365" s="18">
        <v>0</v>
      </c>
      <c r="DT365" s="18">
        <v>1</v>
      </c>
      <c r="DU365" s="18">
        <v>1</v>
      </c>
      <c r="DV365" s="18" t="s">
        <v>5342</v>
      </c>
      <c r="DX365" s="18" t="s">
        <v>5222</v>
      </c>
      <c r="DY365" s="18" t="s">
        <v>106</v>
      </c>
      <c r="DZ365" s="18" t="s">
        <v>106</v>
      </c>
      <c r="EA365" s="18" t="s">
        <v>5146</v>
      </c>
      <c r="EB365" s="18">
        <v>0</v>
      </c>
      <c r="EC365" s="18" t="s">
        <v>106</v>
      </c>
      <c r="ED365" s="18" t="s">
        <v>5147</v>
      </c>
      <c r="EF365" s="18" t="s">
        <v>113</v>
      </c>
      <c r="EG365" s="18" t="s">
        <v>5148</v>
      </c>
      <c r="EH365" s="18" t="s">
        <v>5203</v>
      </c>
      <c r="EI365" s="18" t="s">
        <v>5204</v>
      </c>
      <c r="EJ365" s="18" t="s">
        <v>5245</v>
      </c>
      <c r="EK365" s="18" t="s">
        <v>113</v>
      </c>
      <c r="EM365" s="18" t="s">
        <v>127</v>
      </c>
      <c r="EN365" s="18" t="s">
        <v>113</v>
      </c>
      <c r="EO365" s="18" t="s">
        <v>113</v>
      </c>
      <c r="EP365" s="18" t="s">
        <v>113</v>
      </c>
      <c r="EQ365" s="18" t="s">
        <v>113</v>
      </c>
      <c r="ER365" s="18" t="s">
        <v>5152</v>
      </c>
      <c r="ES365" s="18" t="s">
        <v>5153</v>
      </c>
      <c r="ET365" s="18" t="s">
        <v>5154</v>
      </c>
      <c r="EU365" s="18" t="s">
        <v>5155</v>
      </c>
      <c r="EV365" s="18" t="s">
        <v>5372</v>
      </c>
      <c r="EW365" s="18" t="s">
        <v>5346</v>
      </c>
      <c r="EX365" s="18" t="s">
        <v>5158</v>
      </c>
      <c r="EY365" s="18" t="s">
        <v>5229</v>
      </c>
      <c r="EZ365" s="18" t="s">
        <v>5160</v>
      </c>
      <c r="FA365" s="18" t="s">
        <v>144</v>
      </c>
      <c r="FB365" s="18" t="s">
        <v>5161</v>
      </c>
    </row>
    <row r="366" spans="1:158" ht="10.5" customHeight="1" x14ac:dyDescent="0.2">
      <c r="A366" s="16">
        <v>41</v>
      </c>
      <c r="B366" s="16" t="s">
        <v>3477</v>
      </c>
      <c r="C366" s="16" t="s">
        <v>2091</v>
      </c>
      <c r="D366" s="16">
        <v>24000</v>
      </c>
      <c r="E366" s="16" t="s">
        <v>6658</v>
      </c>
      <c r="F366" s="18" t="s">
        <v>2091</v>
      </c>
      <c r="G366" s="18" t="s">
        <v>113</v>
      </c>
      <c r="H366" s="15" t="s">
        <v>111</v>
      </c>
      <c r="AT366" s="17">
        <f>(365*D366*0.7)/1000</f>
        <v>6132</v>
      </c>
      <c r="AU366" s="17">
        <f t="shared" si="17"/>
        <v>0</v>
      </c>
      <c r="BW366" s="15">
        <f t="shared" si="18"/>
        <v>0</v>
      </c>
    </row>
    <row r="367" spans="1:158" ht="10.5" customHeight="1" x14ac:dyDescent="0.2">
      <c r="A367" s="16">
        <v>41</v>
      </c>
      <c r="B367" s="16" t="s">
        <v>3484</v>
      </c>
      <c r="C367" s="16" t="s">
        <v>3483</v>
      </c>
      <c r="D367" s="16">
        <v>124934</v>
      </c>
      <c r="E367" s="16" t="s">
        <v>6657</v>
      </c>
      <c r="F367" s="18" t="s">
        <v>3483</v>
      </c>
      <c r="G367" s="18" t="s">
        <v>106</v>
      </c>
      <c r="H367" s="15" t="s">
        <v>5127</v>
      </c>
      <c r="I367" s="18">
        <v>15</v>
      </c>
      <c r="J367" s="18" t="s">
        <v>1024</v>
      </c>
      <c r="K367" s="18" t="s">
        <v>1657</v>
      </c>
      <c r="L367" s="18" t="s">
        <v>220</v>
      </c>
      <c r="M367" s="18" t="s">
        <v>5183</v>
      </c>
      <c r="N367" s="18" t="s">
        <v>6327</v>
      </c>
      <c r="O367" s="18">
        <v>47799</v>
      </c>
      <c r="T367" s="18" t="s">
        <v>111</v>
      </c>
      <c r="U367" s="18" t="s">
        <v>5250</v>
      </c>
      <c r="V367" s="18" t="s">
        <v>106</v>
      </c>
      <c r="W367" s="18" t="s">
        <v>5124</v>
      </c>
      <c r="Y367" s="18" t="s">
        <v>5162</v>
      </c>
      <c r="Z367" s="18" t="s">
        <v>106</v>
      </c>
      <c r="AA367" s="18" t="s">
        <v>5267</v>
      </c>
      <c r="AC367" s="18" t="s">
        <v>5127</v>
      </c>
      <c r="AD367" s="18" t="s">
        <v>111</v>
      </c>
      <c r="AE367" s="18" t="s">
        <v>5127</v>
      </c>
      <c r="AF367" s="18" t="s">
        <v>5127</v>
      </c>
      <c r="AG367" s="18" t="s">
        <v>5127</v>
      </c>
      <c r="AH367" s="18" t="s">
        <v>5127</v>
      </c>
      <c r="AI367" s="18">
        <v>1</v>
      </c>
      <c r="AK367" s="18" t="s">
        <v>5164</v>
      </c>
      <c r="AN367" s="18" t="s">
        <v>6328</v>
      </c>
      <c r="AO367" s="18" t="s">
        <v>5165</v>
      </c>
      <c r="AP367" s="18" t="s">
        <v>6329</v>
      </c>
      <c r="AQ367" s="18" t="s">
        <v>5711</v>
      </c>
      <c r="AR367" s="18" t="s">
        <v>5168</v>
      </c>
      <c r="AT367" s="17">
        <f>(365*D367*0.7)/1000</f>
        <v>31920.636999999995</v>
      </c>
      <c r="AU367" s="17">
        <f t="shared" si="17"/>
        <v>229.65</v>
      </c>
      <c r="AV367" s="18">
        <v>229.65</v>
      </c>
      <c r="AW367" s="18">
        <v>0</v>
      </c>
      <c r="AY367" s="18" t="s">
        <v>6330</v>
      </c>
      <c r="AZ367" s="18">
        <f>200</f>
        <v>200</v>
      </c>
      <c r="BA367" s="18">
        <v>30</v>
      </c>
      <c r="BB367" s="18">
        <v>0</v>
      </c>
      <c r="BE367" s="18">
        <v>0</v>
      </c>
      <c r="BG367" s="18" t="s">
        <v>5281</v>
      </c>
      <c r="BQ367" s="18">
        <v>47.36</v>
      </c>
      <c r="BR367" s="18">
        <v>97.06</v>
      </c>
      <c r="BS367" s="18">
        <v>31.14</v>
      </c>
      <c r="BT367" s="18">
        <v>46.03</v>
      </c>
      <c r="BU367" s="18">
        <v>112.91</v>
      </c>
      <c r="BV367" s="18">
        <f>SUM(BQ367:BU367)</f>
        <v>334.5</v>
      </c>
      <c r="BW367" s="15">
        <f t="shared" si="18"/>
        <v>334.5</v>
      </c>
      <c r="BY367" s="18" t="s">
        <v>5134</v>
      </c>
      <c r="BZ367" s="18" t="s">
        <v>193</v>
      </c>
      <c r="CD367" s="18" t="s">
        <v>5127</v>
      </c>
      <c r="CE367" s="18" t="s">
        <v>111</v>
      </c>
      <c r="CF367" s="18" t="s">
        <v>5135</v>
      </c>
      <c r="CG367" s="18" t="s">
        <v>6331</v>
      </c>
      <c r="CH367" s="18" t="s">
        <v>5241</v>
      </c>
      <c r="CI367" s="18" t="s">
        <v>5138</v>
      </c>
      <c r="CJ367" s="18" t="s">
        <v>5139</v>
      </c>
      <c r="CK367" s="18" t="s">
        <v>5197</v>
      </c>
      <c r="CL367" s="18">
        <v>1</v>
      </c>
      <c r="CM367" s="18">
        <v>0</v>
      </c>
      <c r="CN367" s="18">
        <v>0</v>
      </c>
      <c r="CO367" s="18">
        <v>1</v>
      </c>
      <c r="CP367" s="18">
        <v>0</v>
      </c>
      <c r="CQ367" s="18">
        <v>0</v>
      </c>
      <c r="CR367" s="18">
        <v>4</v>
      </c>
      <c r="CS367" s="18" t="s">
        <v>5141</v>
      </c>
      <c r="CT367" s="18">
        <v>1</v>
      </c>
      <c r="CU367" s="18">
        <v>1</v>
      </c>
      <c r="CV367" s="18">
        <v>0</v>
      </c>
      <c r="CX367" s="18">
        <v>0</v>
      </c>
      <c r="CY367" s="18">
        <v>0</v>
      </c>
      <c r="CZ367" s="18">
        <v>0</v>
      </c>
      <c r="DA367" s="18">
        <v>1</v>
      </c>
      <c r="DB367" s="18">
        <v>0</v>
      </c>
      <c r="DC367" s="18">
        <v>1</v>
      </c>
      <c r="DD367" s="18">
        <v>1</v>
      </c>
      <c r="DE367" s="18" t="s">
        <v>5141</v>
      </c>
      <c r="DF367" s="18" t="s">
        <v>5141</v>
      </c>
      <c r="DG367" s="18">
        <v>0</v>
      </c>
      <c r="DH367" s="18">
        <v>0</v>
      </c>
      <c r="DI367" s="18">
        <v>1</v>
      </c>
      <c r="DK367" s="18">
        <v>0</v>
      </c>
      <c r="DL367" s="18">
        <v>0</v>
      </c>
      <c r="DM367" s="18" t="s">
        <v>5127</v>
      </c>
      <c r="DN367" s="18" t="s">
        <v>5172</v>
      </c>
      <c r="DO367" s="18" t="s">
        <v>5173</v>
      </c>
      <c r="DP367" s="18" t="s">
        <v>113</v>
      </c>
      <c r="DS367" s="18">
        <v>0</v>
      </c>
      <c r="DT367" s="18">
        <v>1</v>
      </c>
      <c r="DU367" s="18">
        <v>1</v>
      </c>
      <c r="DV367" s="18" t="s">
        <v>6332</v>
      </c>
      <c r="DX367" s="18" t="s">
        <v>5222</v>
      </c>
      <c r="DY367" s="18" t="s">
        <v>106</v>
      </c>
      <c r="DZ367" s="18" t="s">
        <v>113</v>
      </c>
      <c r="EA367" s="18" t="s">
        <v>5146</v>
      </c>
      <c r="EB367" s="18" t="s">
        <v>6333</v>
      </c>
      <c r="EC367" s="18" t="s">
        <v>106</v>
      </c>
      <c r="ED367" s="18" t="s">
        <v>5176</v>
      </c>
      <c r="EE367" s="18" t="s">
        <v>106</v>
      </c>
      <c r="EF367" s="18" t="s">
        <v>113</v>
      </c>
      <c r="EG367" s="18" t="s">
        <v>5148</v>
      </c>
      <c r="EH367" s="18" t="s">
        <v>5203</v>
      </c>
      <c r="EI367" s="18" t="s">
        <v>5204</v>
      </c>
      <c r="EJ367" s="18" t="s">
        <v>5387</v>
      </c>
      <c r="EK367" s="18" t="s">
        <v>113</v>
      </c>
      <c r="EN367" s="18" t="s">
        <v>113</v>
      </c>
      <c r="EO367" s="18" t="s">
        <v>113</v>
      </c>
      <c r="EP367" s="18" t="s">
        <v>113</v>
      </c>
      <c r="EQ367" s="18" t="s">
        <v>113</v>
      </c>
      <c r="ER367" s="18" t="s">
        <v>5206</v>
      </c>
      <c r="ES367" s="18" t="s">
        <v>5153</v>
      </c>
      <c r="ET367" s="18" t="s">
        <v>5154</v>
      </c>
      <c r="EU367" s="18" t="s">
        <v>5155</v>
      </c>
      <c r="EV367" s="18" t="s">
        <v>6334</v>
      </c>
      <c r="EW367" s="18" t="s">
        <v>6214</v>
      </c>
      <c r="EX367" s="18" t="s">
        <v>5158</v>
      </c>
      <c r="EY367" s="18" t="s">
        <v>164</v>
      </c>
      <c r="EZ367" s="18" t="s">
        <v>5182</v>
      </c>
      <c r="FA367" s="18" t="s">
        <v>144</v>
      </c>
      <c r="FB367" s="18" t="s">
        <v>5161</v>
      </c>
    </row>
    <row r="368" spans="1:158" ht="10.5" customHeight="1" x14ac:dyDescent="0.2">
      <c r="A368" s="16">
        <v>41</v>
      </c>
      <c r="B368" s="16" t="s">
        <v>3484</v>
      </c>
      <c r="C368" s="16" t="s">
        <v>3483</v>
      </c>
      <c r="D368" s="16">
        <v>124934</v>
      </c>
      <c r="E368" s="16" t="s">
        <v>6657</v>
      </c>
      <c r="F368" s="18" t="s">
        <v>3483</v>
      </c>
      <c r="G368" s="18" t="s">
        <v>106</v>
      </c>
      <c r="H368" s="15" t="s">
        <v>5127</v>
      </c>
      <c r="I368" s="18">
        <v>15</v>
      </c>
      <c r="J368" s="18">
        <v>7</v>
      </c>
      <c r="K368" s="18">
        <v>8</v>
      </c>
      <c r="L368" s="18">
        <v>0</v>
      </c>
      <c r="M368" s="18" t="s">
        <v>5183</v>
      </c>
      <c r="N368" s="18" t="s">
        <v>6335</v>
      </c>
      <c r="O368" s="18">
        <v>47799</v>
      </c>
      <c r="T368" s="18" t="s">
        <v>6336</v>
      </c>
      <c r="U368" s="18" t="s">
        <v>5185</v>
      </c>
      <c r="V368" s="18" t="s">
        <v>106</v>
      </c>
      <c r="W368" s="18" t="s">
        <v>5124</v>
      </c>
      <c r="Y368" s="18" t="s">
        <v>5232</v>
      </c>
      <c r="Z368" s="18" t="s">
        <v>106</v>
      </c>
      <c r="AA368" s="18" t="s">
        <v>5163</v>
      </c>
      <c r="AB368" s="18" t="s">
        <v>179</v>
      </c>
      <c r="AC368" s="18" t="s">
        <v>5127</v>
      </c>
      <c r="AD368" s="18" t="s">
        <v>5127</v>
      </c>
      <c r="AE368" s="18" t="s">
        <v>5127</v>
      </c>
      <c r="AF368" s="18" t="s">
        <v>5127</v>
      </c>
      <c r="AG368" s="18" t="s">
        <v>5127</v>
      </c>
      <c r="AH368" s="18" t="s">
        <v>111</v>
      </c>
      <c r="AI368" s="18">
        <v>1</v>
      </c>
      <c r="AK368" s="18" t="s">
        <v>5128</v>
      </c>
      <c r="AN368" s="18">
        <v>569169</v>
      </c>
      <c r="AO368" s="18" t="s">
        <v>5186</v>
      </c>
      <c r="AP368" s="18" t="s">
        <v>5456</v>
      </c>
      <c r="AQ368" s="18" t="s">
        <v>5252</v>
      </c>
      <c r="AR368" s="18" t="s">
        <v>5168</v>
      </c>
      <c r="AT368" s="17">
        <f>(365*D368*0.7)/1000</f>
        <v>31920.636999999995</v>
      </c>
      <c r="AU368" s="17">
        <f t="shared" si="17"/>
        <v>229648</v>
      </c>
      <c r="AV368" s="18">
        <v>229648</v>
      </c>
      <c r="AW368" s="18">
        <v>0</v>
      </c>
      <c r="AY368" s="18" t="s">
        <v>6322</v>
      </c>
      <c r="AZ368" s="18">
        <v>0</v>
      </c>
      <c r="BA368" s="18">
        <v>0</v>
      </c>
      <c r="BB368" s="18">
        <v>0</v>
      </c>
      <c r="BD368" s="18">
        <v>0</v>
      </c>
      <c r="BE368" s="18">
        <v>0</v>
      </c>
      <c r="BG368" s="18" t="s">
        <v>5190</v>
      </c>
      <c r="BH368" s="18">
        <v>0</v>
      </c>
      <c r="BI368" s="18">
        <v>0</v>
      </c>
      <c r="BJ368" s="18">
        <v>0</v>
      </c>
      <c r="BQ368" s="18">
        <f>4736/1000</f>
        <v>4.7359999999999998</v>
      </c>
      <c r="BR368" s="18">
        <f>9705/1000</f>
        <v>9.7050000000000001</v>
      </c>
      <c r="BS368" s="18">
        <f>3114/1000</f>
        <v>3.1139999999999999</v>
      </c>
      <c r="BT368" s="18">
        <f>4602/1000</f>
        <v>4.6020000000000003</v>
      </c>
      <c r="BU368" s="18">
        <f>1132.57/1000</f>
        <v>1.1325699999999999</v>
      </c>
      <c r="BV368" s="18">
        <f t="shared" ref="BV368:BV369" si="21">SUM(BQ368:BU368)</f>
        <v>23.289570000000001</v>
      </c>
      <c r="BW368" s="15">
        <f t="shared" si="18"/>
        <v>23.289570000000001</v>
      </c>
      <c r="BY368" s="18" t="s">
        <v>5134</v>
      </c>
      <c r="BZ368" s="18" t="s">
        <v>193</v>
      </c>
      <c r="CD368" s="18" t="s">
        <v>5127</v>
      </c>
      <c r="CE368" s="18" t="s">
        <v>111</v>
      </c>
      <c r="CF368" s="18" t="s">
        <v>5135</v>
      </c>
      <c r="CG368" s="18" t="s">
        <v>5193</v>
      </c>
      <c r="CH368" s="18" t="s">
        <v>5564</v>
      </c>
      <c r="CI368" s="18" t="s">
        <v>5138</v>
      </c>
      <c r="CJ368" s="18" t="s">
        <v>5196</v>
      </c>
      <c r="CK368" s="18" t="s">
        <v>5197</v>
      </c>
      <c r="CL368" s="18">
        <v>1</v>
      </c>
      <c r="CM368" s="18">
        <v>0</v>
      </c>
      <c r="CN368" s="18">
        <v>0</v>
      </c>
      <c r="CO368" s="18">
        <v>1</v>
      </c>
      <c r="CP368" s="18">
        <v>0</v>
      </c>
      <c r="CQ368" s="18">
        <v>1</v>
      </c>
      <c r="CR368" s="18">
        <v>1</v>
      </c>
      <c r="CS368" s="18" t="s">
        <v>5141</v>
      </c>
      <c r="CT368" s="18">
        <v>0</v>
      </c>
      <c r="CU368" s="18">
        <v>0</v>
      </c>
      <c r="CV368" s="18">
        <v>0</v>
      </c>
      <c r="CX368" s="18">
        <v>1</v>
      </c>
      <c r="CY368" s="18">
        <v>0</v>
      </c>
      <c r="CZ368" s="18">
        <v>1</v>
      </c>
      <c r="DA368" s="18">
        <v>1</v>
      </c>
      <c r="DB368" s="18">
        <v>1</v>
      </c>
      <c r="DC368" s="18">
        <v>1</v>
      </c>
      <c r="DD368" s="18">
        <v>0</v>
      </c>
      <c r="DE368" s="18" t="s">
        <v>5141</v>
      </c>
      <c r="DF368" s="18" t="s">
        <v>5141</v>
      </c>
      <c r="DG368" s="18">
        <v>0</v>
      </c>
      <c r="DH368" s="18">
        <v>0</v>
      </c>
      <c r="DI368" s="18">
        <v>1</v>
      </c>
      <c r="DK368" s="18">
        <v>0</v>
      </c>
      <c r="DL368" s="18">
        <v>0</v>
      </c>
      <c r="DM368" s="18" t="s">
        <v>5127</v>
      </c>
      <c r="DN368" s="18" t="s">
        <v>5258</v>
      </c>
      <c r="DO368" s="18" t="s">
        <v>5259</v>
      </c>
      <c r="DP368" s="18" t="s">
        <v>113</v>
      </c>
      <c r="DS368" s="18">
        <v>0</v>
      </c>
      <c r="DT368" s="18">
        <v>1</v>
      </c>
      <c r="DU368" s="18">
        <v>1</v>
      </c>
      <c r="DV368" s="18" t="s">
        <v>5144</v>
      </c>
      <c r="DX368" s="18" t="s">
        <v>5222</v>
      </c>
      <c r="DY368" s="18" t="s">
        <v>106</v>
      </c>
      <c r="DZ368" s="18" t="s">
        <v>113</v>
      </c>
      <c r="EA368" s="18" t="s">
        <v>5146</v>
      </c>
      <c r="EB368" s="18">
        <v>339520</v>
      </c>
      <c r="EC368" s="18" t="s">
        <v>106</v>
      </c>
      <c r="ED368" s="18" t="s">
        <v>5176</v>
      </c>
      <c r="EE368" s="18" t="s">
        <v>106</v>
      </c>
      <c r="EF368" s="18" t="s">
        <v>113</v>
      </c>
      <c r="EG368" s="18" t="s">
        <v>5148</v>
      </c>
      <c r="EH368" s="18" t="s">
        <v>5203</v>
      </c>
      <c r="EI368" s="18" t="s">
        <v>5303</v>
      </c>
      <c r="EJ368" s="18" t="s">
        <v>5316</v>
      </c>
      <c r="EK368" s="18" t="s">
        <v>113</v>
      </c>
      <c r="EN368" s="18" t="s">
        <v>113</v>
      </c>
      <c r="EO368" s="18" t="s">
        <v>113</v>
      </c>
      <c r="EP368" s="18" t="s">
        <v>113</v>
      </c>
      <c r="EQ368" s="18" t="s">
        <v>113</v>
      </c>
      <c r="ER368" s="18" t="s">
        <v>5206</v>
      </c>
      <c r="ES368" s="18" t="s">
        <v>5153</v>
      </c>
      <c r="ET368" s="18" t="s">
        <v>5154</v>
      </c>
      <c r="EU368" s="18" t="s">
        <v>5318</v>
      </c>
      <c r="EV368" s="18" t="s">
        <v>5372</v>
      </c>
      <c r="EW368" s="18" t="s">
        <v>5320</v>
      </c>
      <c r="EX368" s="18" t="s">
        <v>5158</v>
      </c>
      <c r="EY368" s="18" t="s">
        <v>5159</v>
      </c>
      <c r="EZ368" s="18" t="s">
        <v>5182</v>
      </c>
      <c r="FA368" s="18" t="s">
        <v>144</v>
      </c>
      <c r="FB368" s="18" t="s">
        <v>5161</v>
      </c>
    </row>
    <row r="369" spans="1:158" ht="10.5" customHeight="1" x14ac:dyDescent="0.2">
      <c r="A369" s="16">
        <v>41</v>
      </c>
      <c r="B369" s="16" t="s">
        <v>3495</v>
      </c>
      <c r="C369" s="16" t="s">
        <v>1800</v>
      </c>
      <c r="D369" s="16">
        <v>34513</v>
      </c>
      <c r="E369" s="16" t="s">
        <v>6658</v>
      </c>
      <c r="F369" s="18" t="s">
        <v>1800</v>
      </c>
      <c r="G369" s="18" t="s">
        <v>106</v>
      </c>
      <c r="H369" s="15" t="s">
        <v>5127</v>
      </c>
      <c r="I369" s="18">
        <v>20</v>
      </c>
      <c r="J369" s="18">
        <v>14</v>
      </c>
      <c r="K369" s="18" t="s">
        <v>387</v>
      </c>
      <c r="L369" s="18">
        <v>0</v>
      </c>
      <c r="M369" s="18" t="s">
        <v>5121</v>
      </c>
      <c r="N369" s="18" t="s">
        <v>6337</v>
      </c>
      <c r="O369" s="18">
        <v>45919</v>
      </c>
      <c r="T369" s="18" t="s">
        <v>6058</v>
      </c>
      <c r="U369" s="18" t="s">
        <v>5123</v>
      </c>
      <c r="V369" s="18" t="s">
        <v>106</v>
      </c>
      <c r="W369" s="18" t="s">
        <v>5211</v>
      </c>
      <c r="Y369" s="18" t="s">
        <v>5232</v>
      </c>
      <c r="Z369" s="18" t="s">
        <v>113</v>
      </c>
      <c r="AA369" s="18" t="s">
        <v>5163</v>
      </c>
      <c r="AB369" s="18" t="s">
        <v>179</v>
      </c>
      <c r="AC369" s="18" t="s">
        <v>111</v>
      </c>
      <c r="AD369" s="18" t="s">
        <v>111</v>
      </c>
      <c r="AE369" s="18" t="s">
        <v>111</v>
      </c>
      <c r="AF369" s="18" t="s">
        <v>111</v>
      </c>
      <c r="AG369" s="18" t="s">
        <v>5127</v>
      </c>
      <c r="AH369" s="18" t="s">
        <v>5127</v>
      </c>
      <c r="AI369" s="18">
        <v>3</v>
      </c>
      <c r="AK369" s="18" t="s">
        <v>5164</v>
      </c>
      <c r="AN369" s="18">
        <v>0</v>
      </c>
      <c r="AO369" s="18" t="s">
        <v>5186</v>
      </c>
      <c r="AP369" s="18" t="s">
        <v>6338</v>
      </c>
      <c r="AQ369" s="18" t="s">
        <v>5409</v>
      </c>
      <c r="AR369" s="18" t="s">
        <v>5168</v>
      </c>
      <c r="AT369" s="17">
        <f>(365*D369*0.7)/1000</f>
        <v>8818.0715</v>
      </c>
      <c r="AU369" s="17">
        <f t="shared" si="17"/>
        <v>77.760000000000005</v>
      </c>
      <c r="AV369" s="18">
        <f>77760/1000</f>
        <v>77.760000000000005</v>
      </c>
      <c r="AW369" s="18">
        <v>0</v>
      </c>
      <c r="AY369" s="18" t="s">
        <v>164</v>
      </c>
      <c r="AZ369" s="18">
        <v>0</v>
      </c>
      <c r="BA369" s="18">
        <v>0</v>
      </c>
      <c r="BB369" s="18">
        <v>0</v>
      </c>
      <c r="BD369" s="18">
        <f>2000/1000</f>
        <v>2</v>
      </c>
      <c r="BE369" s="18">
        <v>0</v>
      </c>
      <c r="BG369" s="18" t="s">
        <v>6339</v>
      </c>
      <c r="BH369" s="18">
        <v>0</v>
      </c>
      <c r="BI369" s="18">
        <v>0</v>
      </c>
      <c r="BJ369" s="18">
        <v>0</v>
      </c>
      <c r="BQ369" s="18">
        <f>113954/1000</f>
        <v>113.95399999999999</v>
      </c>
      <c r="BR369" s="18">
        <f>96864/1000</f>
        <v>96.864000000000004</v>
      </c>
      <c r="BS369" s="18">
        <v>120</v>
      </c>
      <c r="BT369" s="18">
        <f>120000/1000</f>
        <v>120</v>
      </c>
      <c r="BU369" s="18">
        <f>22880/1000</f>
        <v>22.88</v>
      </c>
      <c r="BV369" s="18">
        <f t="shared" si="21"/>
        <v>473.69799999999998</v>
      </c>
      <c r="BW369" s="15">
        <f t="shared" si="18"/>
        <v>473.69799999999998</v>
      </c>
      <c r="BY369" s="18" t="s">
        <v>5134</v>
      </c>
      <c r="BZ369" s="18" t="s">
        <v>5240</v>
      </c>
      <c r="CD369" s="18" t="s">
        <v>5127</v>
      </c>
      <c r="CE369" s="18" t="s">
        <v>5127</v>
      </c>
      <c r="CF369" s="18" t="s">
        <v>5135</v>
      </c>
      <c r="CG369" s="18" t="s">
        <v>5219</v>
      </c>
      <c r="CH369" s="18" t="s">
        <v>111</v>
      </c>
      <c r="CI369" s="18" t="s">
        <v>5138</v>
      </c>
      <c r="CJ369" s="18" t="s">
        <v>5139</v>
      </c>
      <c r="CK369" s="18" t="s">
        <v>5197</v>
      </c>
      <c r="CL369" s="18">
        <v>3</v>
      </c>
      <c r="CM369" s="18">
        <v>1</v>
      </c>
      <c r="CN369" s="18">
        <v>0</v>
      </c>
      <c r="CO369" s="18">
        <v>1</v>
      </c>
      <c r="CP369" s="18">
        <v>0</v>
      </c>
      <c r="CQ369" s="18">
        <v>1</v>
      </c>
      <c r="CR369" s="18">
        <v>0</v>
      </c>
      <c r="CS369" s="18" t="s">
        <v>5141</v>
      </c>
      <c r="CT369" s="18">
        <v>0</v>
      </c>
      <c r="CU369" s="18">
        <v>0</v>
      </c>
      <c r="CV369" s="18">
        <v>2</v>
      </c>
      <c r="CX369" s="18">
        <v>0</v>
      </c>
      <c r="CY369" s="18">
        <v>0</v>
      </c>
      <c r="CZ369" s="18">
        <v>0</v>
      </c>
      <c r="DA369" s="18">
        <v>0</v>
      </c>
      <c r="DB369" s="18">
        <v>1</v>
      </c>
      <c r="DC369" s="18">
        <v>1</v>
      </c>
      <c r="DD369" s="18">
        <v>0</v>
      </c>
      <c r="DE369" s="18">
        <v>0</v>
      </c>
      <c r="DF369" s="18" t="s">
        <v>5141</v>
      </c>
      <c r="DG369" s="18">
        <v>0</v>
      </c>
      <c r="DH369" s="18" t="s">
        <v>5141</v>
      </c>
      <c r="DI369" s="18" t="s">
        <v>5141</v>
      </c>
      <c r="DK369" s="18">
        <v>0</v>
      </c>
      <c r="DL369" s="18">
        <v>1</v>
      </c>
      <c r="DM369" s="18" t="s">
        <v>5127</v>
      </c>
      <c r="DN369" s="18" t="s">
        <v>5172</v>
      </c>
      <c r="DO369" s="18" t="s">
        <v>5371</v>
      </c>
      <c r="DP369" s="18" t="s">
        <v>106</v>
      </c>
      <c r="DQ369" s="18" t="s">
        <v>5168</v>
      </c>
      <c r="DS369" s="18">
        <v>0</v>
      </c>
      <c r="DT369" s="18">
        <v>1</v>
      </c>
      <c r="DU369" s="18">
        <v>1</v>
      </c>
      <c r="DV369" s="18" t="s">
        <v>5342</v>
      </c>
      <c r="DX369" s="18" t="s">
        <v>5201</v>
      </c>
      <c r="DY369" s="18" t="s">
        <v>106</v>
      </c>
      <c r="DZ369" s="18" t="s">
        <v>113</v>
      </c>
      <c r="EA369" s="18" t="s">
        <v>5146</v>
      </c>
      <c r="EB369" s="18">
        <v>312000</v>
      </c>
      <c r="EC369" s="18" t="s">
        <v>113</v>
      </c>
      <c r="ED369" s="18" t="s">
        <v>5147</v>
      </c>
      <c r="EE369" s="18" t="s">
        <v>106</v>
      </c>
      <c r="EF369" s="18" t="s">
        <v>113</v>
      </c>
      <c r="EG369" s="18" t="s">
        <v>6340</v>
      </c>
      <c r="EH369" s="18" t="s">
        <v>5203</v>
      </c>
      <c r="EI369" s="18" t="s">
        <v>5204</v>
      </c>
      <c r="EJ369" s="18" t="s">
        <v>5287</v>
      </c>
      <c r="EK369" s="18" t="s">
        <v>113</v>
      </c>
      <c r="EL369" s="18" t="s">
        <v>373</v>
      </c>
      <c r="EM369" s="18" t="s">
        <v>6341</v>
      </c>
      <c r="EN369" s="18" t="s">
        <v>113</v>
      </c>
      <c r="EO369" s="18" t="s">
        <v>113</v>
      </c>
      <c r="EP369" s="18" t="s">
        <v>113</v>
      </c>
      <c r="EQ369" s="18" t="s">
        <v>113</v>
      </c>
      <c r="ER369" s="18" t="s">
        <v>5206</v>
      </c>
      <c r="ES369" s="18" t="s">
        <v>5153</v>
      </c>
      <c r="ET369" s="18" t="s">
        <v>5154</v>
      </c>
      <c r="EU369" s="18" t="s">
        <v>5155</v>
      </c>
      <c r="EV369" s="18" t="s">
        <v>5372</v>
      </c>
      <c r="EW369" s="18" t="s">
        <v>179</v>
      </c>
      <c r="EX369" s="18" t="s">
        <v>5158</v>
      </c>
      <c r="EY369" s="18" t="s">
        <v>5229</v>
      </c>
      <c r="EZ369" s="18" t="s">
        <v>5160</v>
      </c>
      <c r="FA369" s="18" t="s">
        <v>144</v>
      </c>
      <c r="FB369" s="18" t="s">
        <v>5161</v>
      </c>
    </row>
    <row r="370" spans="1:158" ht="10.5" customHeight="1" x14ac:dyDescent="0.2">
      <c r="A370" s="16">
        <v>41</v>
      </c>
      <c r="B370" s="16" t="s">
        <v>3510</v>
      </c>
      <c r="C370" s="16" t="s">
        <v>3509</v>
      </c>
      <c r="D370" s="16">
        <v>3121</v>
      </c>
      <c r="E370" s="16" t="s">
        <v>6656</v>
      </c>
      <c r="F370" s="18" t="s">
        <v>3509</v>
      </c>
      <c r="G370" s="18" t="s">
        <v>106</v>
      </c>
      <c r="H370" s="15" t="s">
        <v>5127</v>
      </c>
      <c r="I370" s="18">
        <v>5</v>
      </c>
      <c r="J370" s="18">
        <v>4</v>
      </c>
      <c r="K370" s="18">
        <v>1</v>
      </c>
      <c r="L370" s="18">
        <v>0</v>
      </c>
      <c r="M370" s="18" t="s">
        <v>5121</v>
      </c>
      <c r="N370" s="18" t="s">
        <v>157</v>
      </c>
      <c r="T370" s="18" t="s">
        <v>111</v>
      </c>
      <c r="U370" s="18" t="s">
        <v>5123</v>
      </c>
      <c r="V370" s="18" t="s">
        <v>113</v>
      </c>
      <c r="W370" s="18" t="s">
        <v>5211</v>
      </c>
      <c r="Y370" s="18" t="s">
        <v>5555</v>
      </c>
      <c r="Z370" s="18" t="s">
        <v>113</v>
      </c>
      <c r="AA370" s="18" t="s">
        <v>5163</v>
      </c>
      <c r="AB370" s="18" t="s">
        <v>179</v>
      </c>
      <c r="AC370" s="18" t="s">
        <v>111</v>
      </c>
      <c r="AD370" s="18" t="s">
        <v>111</v>
      </c>
      <c r="AE370" s="18" t="s">
        <v>111</v>
      </c>
      <c r="AF370" s="18" t="s">
        <v>111</v>
      </c>
      <c r="AG370" s="18" t="s">
        <v>5127</v>
      </c>
      <c r="AH370" s="18" t="s">
        <v>111</v>
      </c>
      <c r="AI370" s="18">
        <v>0</v>
      </c>
      <c r="AK370" s="18" t="s">
        <v>5164</v>
      </c>
      <c r="AN370" s="18">
        <v>0</v>
      </c>
      <c r="AO370" s="18" t="s">
        <v>5129</v>
      </c>
      <c r="AP370" s="18" t="s">
        <v>6342</v>
      </c>
      <c r="AQ370" s="18" t="s">
        <v>5252</v>
      </c>
      <c r="AR370" s="18" t="s">
        <v>5221</v>
      </c>
      <c r="AT370" s="17">
        <f>(365*D370*0.7)/1000</f>
        <v>797.41549999999995</v>
      </c>
      <c r="AU370" s="17">
        <f t="shared" si="17"/>
        <v>15</v>
      </c>
      <c r="AV370" s="18">
        <v>15</v>
      </c>
      <c r="AW370" s="18">
        <v>0</v>
      </c>
      <c r="AY370" s="18" t="s">
        <v>5237</v>
      </c>
      <c r="AZ370" s="18">
        <v>30</v>
      </c>
      <c r="BB370" s="18">
        <v>800</v>
      </c>
      <c r="BE370" s="18">
        <v>350</v>
      </c>
      <c r="BG370" s="18" t="s">
        <v>5527</v>
      </c>
      <c r="BQ370" s="18">
        <v>2</v>
      </c>
      <c r="BR370" s="18">
        <v>10</v>
      </c>
      <c r="BS370" s="18">
        <v>6</v>
      </c>
      <c r="BT370" s="18">
        <v>2</v>
      </c>
      <c r="BU370" s="18">
        <v>15</v>
      </c>
      <c r="BV370" s="18">
        <v>35</v>
      </c>
      <c r="BW370" s="15">
        <f t="shared" si="18"/>
        <v>35</v>
      </c>
      <c r="BY370" s="18" t="s">
        <v>5134</v>
      </c>
      <c r="BZ370" s="18" t="s">
        <v>5240</v>
      </c>
      <c r="CD370" s="18" t="s">
        <v>111</v>
      </c>
      <c r="CE370" s="18" t="s">
        <v>111</v>
      </c>
      <c r="CF370" s="18" t="s">
        <v>5135</v>
      </c>
      <c r="CG370" s="18" t="s">
        <v>5724</v>
      </c>
      <c r="CH370" s="18" t="s">
        <v>111</v>
      </c>
      <c r="CI370" s="18" t="s">
        <v>5138</v>
      </c>
      <c r="CJ370" s="18" t="s">
        <v>5139</v>
      </c>
      <c r="CK370" s="18" t="s">
        <v>5197</v>
      </c>
      <c r="CL370" s="18">
        <v>1</v>
      </c>
      <c r="CM370" s="18">
        <v>0</v>
      </c>
      <c r="CN370" s="18">
        <v>0</v>
      </c>
      <c r="CO370" s="18">
        <v>1</v>
      </c>
      <c r="CP370" s="18">
        <v>0</v>
      </c>
      <c r="CQ370" s="18">
        <v>0</v>
      </c>
      <c r="CR370" s="18">
        <v>2</v>
      </c>
      <c r="CS370" s="18">
        <v>4</v>
      </c>
      <c r="CT370" s="18">
        <v>0</v>
      </c>
      <c r="CU370" s="18">
        <v>0</v>
      </c>
      <c r="CV370" s="18">
        <v>0</v>
      </c>
      <c r="CX370" s="18">
        <v>1</v>
      </c>
      <c r="CY370" s="18">
        <v>1</v>
      </c>
      <c r="CZ370" s="18">
        <v>0</v>
      </c>
      <c r="DA370" s="18">
        <v>0</v>
      </c>
      <c r="DB370" s="18">
        <v>1</v>
      </c>
      <c r="DC370" s="18">
        <v>0</v>
      </c>
      <c r="DD370" s="18">
        <v>0</v>
      </c>
      <c r="DE370" s="18" t="s">
        <v>5141</v>
      </c>
      <c r="DF370" s="18" t="s">
        <v>5141</v>
      </c>
      <c r="DG370" s="18">
        <v>0</v>
      </c>
      <c r="DH370" s="18">
        <v>0</v>
      </c>
      <c r="DI370" s="18">
        <v>0</v>
      </c>
      <c r="DK370" s="18">
        <v>0</v>
      </c>
      <c r="DL370" s="18">
        <v>0</v>
      </c>
      <c r="DM370" s="18" t="s">
        <v>111</v>
      </c>
      <c r="DN370" s="18" t="s">
        <v>5314</v>
      </c>
      <c r="DO370" s="18" t="s">
        <v>5259</v>
      </c>
      <c r="DP370" s="18" t="s">
        <v>113</v>
      </c>
      <c r="DQ370" s="18" t="s">
        <v>5221</v>
      </c>
      <c r="DS370" s="18">
        <v>0</v>
      </c>
      <c r="DT370" s="18">
        <v>0</v>
      </c>
      <c r="DU370" s="18">
        <v>0</v>
      </c>
      <c r="DV370" s="18" t="s">
        <v>6343</v>
      </c>
      <c r="DX370" s="18" t="s">
        <v>5145</v>
      </c>
      <c r="DY370" s="18" t="s">
        <v>106</v>
      </c>
      <c r="DZ370" s="18" t="s">
        <v>113</v>
      </c>
      <c r="EA370" s="18" t="s">
        <v>5243</v>
      </c>
      <c r="EB370" s="18">
        <v>35</v>
      </c>
      <c r="EC370" s="18" t="s">
        <v>113</v>
      </c>
      <c r="ED370" s="18" t="s">
        <v>5147</v>
      </c>
      <c r="EE370" s="18" t="s">
        <v>113</v>
      </c>
      <c r="EF370" s="18" t="s">
        <v>113</v>
      </c>
      <c r="EG370" s="18" t="s">
        <v>5148</v>
      </c>
      <c r="EH370" s="18" t="s">
        <v>5149</v>
      </c>
      <c r="EI370" s="18" t="s">
        <v>5150</v>
      </c>
      <c r="EJ370" s="18" t="s">
        <v>5945</v>
      </c>
      <c r="EK370" s="18" t="s">
        <v>113</v>
      </c>
      <c r="EL370" s="18" t="s">
        <v>157</v>
      </c>
      <c r="EM370" s="18" t="s">
        <v>5227</v>
      </c>
      <c r="EN370" s="18" t="s">
        <v>113</v>
      </c>
      <c r="EO370" s="18" t="s">
        <v>113</v>
      </c>
      <c r="EP370" s="18" t="s">
        <v>113</v>
      </c>
      <c r="EQ370" s="18" t="s">
        <v>113</v>
      </c>
      <c r="ER370" s="18" t="s">
        <v>5227</v>
      </c>
      <c r="ES370" s="18" t="s">
        <v>5795</v>
      </c>
      <c r="ET370" s="18" t="s">
        <v>5154</v>
      </c>
      <c r="EU370" s="18" t="s">
        <v>5155</v>
      </c>
      <c r="EV370" s="18" t="s">
        <v>179</v>
      </c>
      <c r="EW370" s="18" t="s">
        <v>5669</v>
      </c>
      <c r="EX370" s="18" t="s">
        <v>5158</v>
      </c>
      <c r="EY370" s="18" t="s">
        <v>164</v>
      </c>
      <c r="EZ370" s="18" t="s">
        <v>5160</v>
      </c>
      <c r="FA370" s="18" t="s">
        <v>144</v>
      </c>
      <c r="FB370" s="18" t="s">
        <v>5161</v>
      </c>
    </row>
    <row r="371" spans="1:158" ht="10.5" customHeight="1" x14ac:dyDescent="0.2">
      <c r="A371" s="16">
        <v>41</v>
      </c>
      <c r="B371" s="16" t="s">
        <v>3528</v>
      </c>
      <c r="C371" s="16" t="s">
        <v>3527</v>
      </c>
      <c r="D371" s="16">
        <v>4123</v>
      </c>
      <c r="E371" s="16" t="s">
        <v>6656</v>
      </c>
      <c r="F371" s="18" t="s">
        <v>3527</v>
      </c>
      <c r="G371" s="18" t="s">
        <v>113</v>
      </c>
      <c r="H371" s="15" t="s">
        <v>111</v>
      </c>
      <c r="AT371" s="17">
        <f>(365*D371*0.7)/1000</f>
        <v>1053.4265</v>
      </c>
      <c r="AU371" s="17">
        <f t="shared" si="17"/>
        <v>0</v>
      </c>
      <c r="BW371" s="15">
        <f t="shared" si="18"/>
        <v>0</v>
      </c>
    </row>
    <row r="372" spans="1:158" ht="10.5" customHeight="1" x14ac:dyDescent="0.2">
      <c r="A372" s="16">
        <v>41</v>
      </c>
      <c r="B372" s="16" t="s">
        <v>3548</v>
      </c>
      <c r="C372" s="16" t="s">
        <v>3547</v>
      </c>
      <c r="D372" s="16">
        <v>14663</v>
      </c>
      <c r="E372" s="16" t="s">
        <v>6656</v>
      </c>
      <c r="H372" s="15" t="s">
        <v>6661</v>
      </c>
      <c r="AT372" s="17">
        <f>(365*D372*0.7)/1000</f>
        <v>3746.3964999999994</v>
      </c>
      <c r="AU372" s="17">
        <f t="shared" si="17"/>
        <v>0</v>
      </c>
      <c r="BW372" s="15">
        <f t="shared" si="18"/>
        <v>0</v>
      </c>
    </row>
    <row r="373" spans="1:158" ht="10.5" customHeight="1" x14ac:dyDescent="0.2">
      <c r="A373" s="16">
        <v>41</v>
      </c>
      <c r="B373" s="16" t="s">
        <v>3564</v>
      </c>
      <c r="C373" s="16" t="s">
        <v>3563</v>
      </c>
      <c r="D373" s="16">
        <v>372562</v>
      </c>
      <c r="E373" s="16" t="s">
        <v>6659</v>
      </c>
      <c r="F373" s="18" t="s">
        <v>3563</v>
      </c>
      <c r="G373" s="18" t="s">
        <v>106</v>
      </c>
      <c r="H373" s="15" t="s">
        <v>5127</v>
      </c>
      <c r="I373" s="18">
        <v>21</v>
      </c>
      <c r="J373" s="18">
        <v>13</v>
      </c>
      <c r="K373" s="18">
        <v>8</v>
      </c>
      <c r="L373" s="18">
        <v>0</v>
      </c>
      <c r="M373" s="18" t="s">
        <v>5183</v>
      </c>
      <c r="N373" s="18" t="s">
        <v>6344</v>
      </c>
      <c r="O373" s="18">
        <v>45905</v>
      </c>
      <c r="T373" s="18" t="s">
        <v>111</v>
      </c>
      <c r="U373" s="18" t="s">
        <v>5250</v>
      </c>
      <c r="V373" s="18" t="s">
        <v>113</v>
      </c>
      <c r="W373" s="18" t="s">
        <v>5211</v>
      </c>
      <c r="Y373" s="18" t="s">
        <v>5232</v>
      </c>
      <c r="Z373" s="18" t="s">
        <v>106</v>
      </c>
      <c r="AA373" s="18" t="s">
        <v>5163</v>
      </c>
      <c r="AB373" s="18" t="s">
        <v>179</v>
      </c>
      <c r="AC373" s="18" t="s">
        <v>5127</v>
      </c>
      <c r="AD373" s="18" t="s">
        <v>5127</v>
      </c>
      <c r="AE373" s="18" t="s">
        <v>5127</v>
      </c>
      <c r="AF373" s="18" t="s">
        <v>5127</v>
      </c>
      <c r="AG373" s="18" t="s">
        <v>5127</v>
      </c>
      <c r="AH373" s="18" t="s">
        <v>5127</v>
      </c>
      <c r="AI373" s="18">
        <v>1</v>
      </c>
      <c r="AK373" s="18" t="s">
        <v>5164</v>
      </c>
      <c r="AN373" s="18">
        <v>302705</v>
      </c>
      <c r="AO373" s="18" t="s">
        <v>5165</v>
      </c>
      <c r="AP373" s="18" t="s">
        <v>6345</v>
      </c>
      <c r="AQ373" s="18" t="s">
        <v>5311</v>
      </c>
      <c r="AR373" s="18" t="s">
        <v>5168</v>
      </c>
      <c r="AT373" s="17">
        <f>(365*D373*0.7)/1000</f>
        <v>95189.591</v>
      </c>
      <c r="AU373" s="17">
        <f t="shared" si="17"/>
        <v>46</v>
      </c>
      <c r="AV373" s="18">
        <v>46</v>
      </c>
      <c r="AW373" s="18">
        <v>0</v>
      </c>
      <c r="AY373" s="18" t="s">
        <v>5583</v>
      </c>
      <c r="AZ373" s="18">
        <v>0</v>
      </c>
      <c r="BA373" s="18">
        <v>0</v>
      </c>
      <c r="BB373" s="18">
        <v>0</v>
      </c>
      <c r="BD373" s="18">
        <v>0</v>
      </c>
      <c r="BE373" s="18">
        <v>0</v>
      </c>
      <c r="BG373" s="18" t="s">
        <v>164</v>
      </c>
      <c r="BH373" s="18">
        <v>0</v>
      </c>
      <c r="BI373" s="18">
        <v>0</v>
      </c>
      <c r="BJ373" s="18">
        <v>0</v>
      </c>
      <c r="BQ373" s="18">
        <f>148695/1000</f>
        <v>148.69499999999999</v>
      </c>
      <c r="BR373" s="18">
        <f>83754/1000</f>
        <v>83.754000000000005</v>
      </c>
      <c r="BS373" s="18">
        <f>68124/1000</f>
        <v>68.123999999999995</v>
      </c>
      <c r="BT373" s="18">
        <v>0</v>
      </c>
      <c r="BU373" s="18">
        <f>2086/1000</f>
        <v>2.0859999999999999</v>
      </c>
      <c r="BV373" s="18">
        <f>302659/1000</f>
        <v>302.65899999999999</v>
      </c>
      <c r="BW373" s="15">
        <f t="shared" si="18"/>
        <v>302.65899999999999</v>
      </c>
      <c r="BY373" s="18" t="s">
        <v>5134</v>
      </c>
      <c r="BZ373" s="18" t="s">
        <v>5312</v>
      </c>
      <c r="CD373" s="18" t="s">
        <v>5127</v>
      </c>
      <c r="CE373" s="18" t="s">
        <v>5127</v>
      </c>
      <c r="CF373" s="18" t="s">
        <v>5282</v>
      </c>
      <c r="CG373" s="18" t="s">
        <v>6346</v>
      </c>
      <c r="CH373" s="18" t="s">
        <v>5241</v>
      </c>
      <c r="CI373" s="18" t="s">
        <v>5138</v>
      </c>
      <c r="CJ373" s="18" t="s">
        <v>5196</v>
      </c>
      <c r="CK373" s="18" t="s">
        <v>5256</v>
      </c>
      <c r="CL373" s="18">
        <v>1</v>
      </c>
      <c r="CM373" s="18">
        <v>0</v>
      </c>
      <c r="CN373" s="18">
        <v>0</v>
      </c>
      <c r="CO373" s="18">
        <v>1</v>
      </c>
      <c r="CP373" s="18">
        <v>0</v>
      </c>
      <c r="CQ373" s="18">
        <v>0</v>
      </c>
      <c r="CR373" s="18">
        <v>0</v>
      </c>
      <c r="CS373" s="18">
        <v>1</v>
      </c>
      <c r="CT373" s="18">
        <v>0</v>
      </c>
      <c r="CU373" s="18">
        <v>0</v>
      </c>
      <c r="CV373" s="18">
        <v>0</v>
      </c>
      <c r="CX373" s="18">
        <v>1</v>
      </c>
      <c r="CY373" s="18">
        <v>0</v>
      </c>
      <c r="CZ373" s="18">
        <v>1</v>
      </c>
      <c r="DA373" s="18">
        <v>0</v>
      </c>
      <c r="DB373" s="18">
        <v>1</v>
      </c>
      <c r="DC373" s="18">
        <v>1</v>
      </c>
      <c r="DD373" s="18">
        <v>1</v>
      </c>
      <c r="DE373" s="18">
        <v>0</v>
      </c>
      <c r="DF373" s="18">
        <v>1</v>
      </c>
      <c r="DG373" s="18">
        <v>1</v>
      </c>
      <c r="DH373" s="18">
        <v>1</v>
      </c>
      <c r="DI373" s="18">
        <v>1</v>
      </c>
      <c r="DK373" s="18">
        <v>0</v>
      </c>
      <c r="DL373" s="18">
        <v>0</v>
      </c>
      <c r="DM373" s="18" t="s">
        <v>5127</v>
      </c>
      <c r="DN373" s="18" t="s">
        <v>5258</v>
      </c>
      <c r="DO373" s="18" t="s">
        <v>5315</v>
      </c>
      <c r="DP373" s="18" t="s">
        <v>113</v>
      </c>
      <c r="DS373" s="18">
        <v>0</v>
      </c>
      <c r="DT373" s="18">
        <v>1</v>
      </c>
      <c r="DU373" s="18">
        <v>0</v>
      </c>
      <c r="DV373" s="18" t="s">
        <v>5342</v>
      </c>
      <c r="DX373" s="18" t="s">
        <v>5222</v>
      </c>
      <c r="DY373" s="18" t="s">
        <v>106</v>
      </c>
      <c r="DZ373" s="18" t="s">
        <v>113</v>
      </c>
      <c r="EA373" s="18" t="s">
        <v>5146</v>
      </c>
      <c r="EB373" s="18">
        <v>302659</v>
      </c>
      <c r="EC373" s="18" t="s">
        <v>106</v>
      </c>
      <c r="ED373" s="18" t="s">
        <v>5176</v>
      </c>
      <c r="EE373" s="18" t="s">
        <v>106</v>
      </c>
      <c r="EF373" s="18" t="s">
        <v>106</v>
      </c>
      <c r="EG373" s="18" t="s">
        <v>5326</v>
      </c>
      <c r="EH373" s="18" t="s">
        <v>5203</v>
      </c>
      <c r="EI373" s="18" t="s">
        <v>5204</v>
      </c>
      <c r="EJ373" s="18" t="s">
        <v>5273</v>
      </c>
      <c r="EK373" s="18" t="s">
        <v>113</v>
      </c>
      <c r="EN373" s="18" t="s">
        <v>113</v>
      </c>
      <c r="EO373" s="18" t="s">
        <v>113</v>
      </c>
      <c r="EP373" s="18" t="s">
        <v>113</v>
      </c>
      <c r="EQ373" s="18" t="s">
        <v>113</v>
      </c>
      <c r="ER373" s="18" t="s">
        <v>5328</v>
      </c>
      <c r="ES373" s="18" t="s">
        <v>5737</v>
      </c>
      <c r="ET373" s="18" t="s">
        <v>5154</v>
      </c>
      <c r="EU373" s="18" t="s">
        <v>5318</v>
      </c>
      <c r="EV373" s="18" t="s">
        <v>6151</v>
      </c>
      <c r="EW373" s="18" t="s">
        <v>5380</v>
      </c>
      <c r="EX373" s="18" t="s">
        <v>5158</v>
      </c>
      <c r="EY373" s="18" t="s">
        <v>5159</v>
      </c>
      <c r="EZ373" s="18" t="s">
        <v>5182</v>
      </c>
      <c r="FA373" s="18" t="s">
        <v>144</v>
      </c>
      <c r="FB373" s="18" t="s">
        <v>5161</v>
      </c>
    </row>
    <row r="374" spans="1:158" ht="10.5" customHeight="1" x14ac:dyDescent="0.2">
      <c r="A374" s="16">
        <v>41</v>
      </c>
      <c r="B374" s="16" t="s">
        <v>3564</v>
      </c>
      <c r="C374" s="16" t="s">
        <v>3563</v>
      </c>
      <c r="D374" s="16">
        <v>372562</v>
      </c>
      <c r="E374" s="16" t="s">
        <v>6659</v>
      </c>
      <c r="F374" s="18" t="s">
        <v>3563</v>
      </c>
      <c r="G374" s="18" t="s">
        <v>106</v>
      </c>
      <c r="H374" s="15" t="s">
        <v>5127</v>
      </c>
      <c r="I374" s="18">
        <v>22</v>
      </c>
      <c r="J374" s="18">
        <v>16</v>
      </c>
      <c r="K374" s="18">
        <v>6</v>
      </c>
      <c r="L374" s="18">
        <v>0</v>
      </c>
      <c r="M374" s="18" t="s">
        <v>5183</v>
      </c>
      <c r="N374" s="18" t="s">
        <v>6347</v>
      </c>
      <c r="O374" s="18">
        <v>47190</v>
      </c>
      <c r="T374" s="18" t="s">
        <v>5122</v>
      </c>
      <c r="U374" s="18" t="s">
        <v>5250</v>
      </c>
      <c r="V374" s="18" t="s">
        <v>113</v>
      </c>
      <c r="W374" s="18" t="s">
        <v>5211</v>
      </c>
      <c r="Y374" s="18" t="s">
        <v>5232</v>
      </c>
      <c r="Z374" s="18" t="s">
        <v>106</v>
      </c>
      <c r="AA374" s="18" t="s">
        <v>5163</v>
      </c>
      <c r="AB374" s="18" t="s">
        <v>179</v>
      </c>
      <c r="AC374" s="18" t="s">
        <v>5127</v>
      </c>
      <c r="AD374" s="18" t="s">
        <v>5127</v>
      </c>
      <c r="AE374" s="18" t="s">
        <v>5127</v>
      </c>
      <c r="AF374" s="18" t="s">
        <v>5127</v>
      </c>
      <c r="AG374" s="18" t="s">
        <v>5127</v>
      </c>
      <c r="AH374" s="18" t="s">
        <v>5127</v>
      </c>
      <c r="AI374" s="18">
        <v>1</v>
      </c>
      <c r="AK374" s="18" t="s">
        <v>5164</v>
      </c>
      <c r="AN374" s="18">
        <v>601456</v>
      </c>
      <c r="AO374" s="18" t="s">
        <v>5165</v>
      </c>
      <c r="AP374" s="18" t="s">
        <v>6348</v>
      </c>
      <c r="AQ374" s="18" t="s">
        <v>5311</v>
      </c>
      <c r="AR374" s="18" t="s">
        <v>5168</v>
      </c>
      <c r="AT374" s="17">
        <f>(365*D374*0.7)/1000</f>
        <v>95189.591</v>
      </c>
      <c r="AU374" s="17">
        <f t="shared" si="17"/>
        <v>96</v>
      </c>
      <c r="AV374" s="18">
        <v>96</v>
      </c>
      <c r="AW374" s="18">
        <v>0</v>
      </c>
      <c r="AY374" s="18" t="s">
        <v>6349</v>
      </c>
      <c r="AZ374" s="18">
        <v>0</v>
      </c>
      <c r="BA374" s="18">
        <v>0</v>
      </c>
      <c r="BB374" s="18">
        <v>0</v>
      </c>
      <c r="BD374" s="18">
        <v>0</v>
      </c>
      <c r="BE374" s="18">
        <v>0</v>
      </c>
      <c r="BG374" s="18" t="s">
        <v>164</v>
      </c>
      <c r="BH374" s="18">
        <v>0</v>
      </c>
      <c r="BI374" s="18">
        <v>0</v>
      </c>
      <c r="BJ374" s="18">
        <v>0</v>
      </c>
      <c r="BQ374" s="18">
        <f>315692/1000</f>
        <v>315.69200000000001</v>
      </c>
      <c r="BR374" s="18">
        <f>149730/1000</f>
        <v>149.72999999999999</v>
      </c>
      <c r="BS374" s="18">
        <f>43526/1000</f>
        <v>43.526000000000003</v>
      </c>
      <c r="BT374" s="18">
        <f>92412/1000</f>
        <v>92.412000000000006</v>
      </c>
      <c r="BU374" s="18">
        <v>0</v>
      </c>
      <c r="BV374" s="18">
        <f>601360/1000</f>
        <v>601.36</v>
      </c>
      <c r="BW374" s="15">
        <f t="shared" si="18"/>
        <v>601.36</v>
      </c>
      <c r="BY374" s="18" t="s">
        <v>5134</v>
      </c>
      <c r="BZ374" s="18" t="s">
        <v>5312</v>
      </c>
      <c r="CD374" s="18" t="s">
        <v>5127</v>
      </c>
      <c r="CE374" s="18" t="s">
        <v>5127</v>
      </c>
      <c r="CF374" s="18" t="s">
        <v>5282</v>
      </c>
      <c r="CG374" s="18" t="s">
        <v>6350</v>
      </c>
      <c r="CH374" s="18" t="s">
        <v>5241</v>
      </c>
      <c r="CI374" s="18" t="s">
        <v>5138</v>
      </c>
      <c r="CJ374" s="18" t="s">
        <v>5196</v>
      </c>
      <c r="CK374" s="18" t="s">
        <v>5256</v>
      </c>
      <c r="CL374" s="18">
        <v>2</v>
      </c>
      <c r="CM374" s="18">
        <v>0</v>
      </c>
      <c r="CN374" s="18">
        <v>0</v>
      </c>
      <c r="CO374" s="18">
        <v>1</v>
      </c>
      <c r="CP374" s="18">
        <v>0</v>
      </c>
      <c r="CQ374" s="18">
        <v>1</v>
      </c>
      <c r="CR374" s="18">
        <v>0</v>
      </c>
      <c r="CS374" s="18">
        <v>1</v>
      </c>
      <c r="CT374" s="18">
        <v>0</v>
      </c>
      <c r="CU374" s="18">
        <v>0</v>
      </c>
      <c r="CV374" s="18">
        <v>0</v>
      </c>
      <c r="CX374" s="18">
        <v>1</v>
      </c>
      <c r="CY374" s="18">
        <v>1</v>
      </c>
      <c r="CZ374" s="18">
        <v>0</v>
      </c>
      <c r="DA374" s="18">
        <v>0</v>
      </c>
      <c r="DB374" s="18">
        <v>1</v>
      </c>
      <c r="DC374" s="18">
        <v>0</v>
      </c>
      <c r="DD374" s="18">
        <v>0</v>
      </c>
      <c r="DE374" s="18">
        <v>0</v>
      </c>
      <c r="DF374" s="18" t="s">
        <v>5141</v>
      </c>
      <c r="DG374" s="18">
        <v>0</v>
      </c>
      <c r="DH374" s="18">
        <v>0</v>
      </c>
      <c r="DI374" s="18">
        <v>0</v>
      </c>
      <c r="DK374" s="18">
        <v>0</v>
      </c>
      <c r="DL374" s="18">
        <v>0</v>
      </c>
      <c r="DM374" s="18" t="s">
        <v>5127</v>
      </c>
      <c r="DN374" s="18" t="s">
        <v>5258</v>
      </c>
      <c r="DO374" s="18" t="s">
        <v>5315</v>
      </c>
      <c r="DP374" s="18" t="s">
        <v>113</v>
      </c>
      <c r="DS374" s="18">
        <v>0</v>
      </c>
      <c r="DT374" s="18">
        <v>1</v>
      </c>
      <c r="DU374" s="18">
        <v>1</v>
      </c>
      <c r="DV374" s="18" t="s">
        <v>5666</v>
      </c>
      <c r="DX374" s="18" t="s">
        <v>5222</v>
      </c>
      <c r="DY374" s="18" t="s">
        <v>106</v>
      </c>
      <c r="DZ374" s="18" t="s">
        <v>113</v>
      </c>
      <c r="EA374" s="18" t="s">
        <v>5261</v>
      </c>
      <c r="EB374" s="18">
        <v>601360</v>
      </c>
      <c r="EC374" s="18" t="s">
        <v>106</v>
      </c>
      <c r="ED374" s="18" t="s">
        <v>5147</v>
      </c>
      <c r="EE374" s="18" t="s">
        <v>106</v>
      </c>
      <c r="EF374" s="18" t="s">
        <v>106</v>
      </c>
      <c r="EG374" s="18" t="s">
        <v>5326</v>
      </c>
      <c r="EH374" s="18" t="s">
        <v>5203</v>
      </c>
      <c r="EI374" s="18" t="s">
        <v>5204</v>
      </c>
      <c r="EJ374" s="18" t="s">
        <v>5273</v>
      </c>
      <c r="EK374" s="18" t="s">
        <v>5878</v>
      </c>
      <c r="EN374" s="18" t="s">
        <v>113</v>
      </c>
      <c r="EO374" s="18" t="s">
        <v>113</v>
      </c>
      <c r="EP374" s="18" t="s">
        <v>106</v>
      </c>
      <c r="EQ374" s="18" t="s">
        <v>113</v>
      </c>
      <c r="ER374" s="18" t="s">
        <v>5206</v>
      </c>
      <c r="ES374" s="18" t="s">
        <v>5153</v>
      </c>
      <c r="ET374" s="18" t="s">
        <v>5154</v>
      </c>
      <c r="EU374" s="18" t="s">
        <v>5318</v>
      </c>
      <c r="EV374" s="18" t="s">
        <v>5372</v>
      </c>
      <c r="EW374" s="18" t="s">
        <v>5291</v>
      </c>
      <c r="EX374" s="18" t="s">
        <v>5158</v>
      </c>
      <c r="EY374" s="18" t="s">
        <v>5181</v>
      </c>
      <c r="EZ374" s="18" t="s">
        <v>5182</v>
      </c>
      <c r="FA374" s="18" t="s">
        <v>144</v>
      </c>
      <c r="FB374" s="18" t="s">
        <v>5161</v>
      </c>
    </row>
    <row r="375" spans="1:158" ht="10.5" customHeight="1" x14ac:dyDescent="0.2">
      <c r="A375" s="16">
        <v>41</v>
      </c>
      <c r="B375" s="16" t="s">
        <v>3564</v>
      </c>
      <c r="C375" s="16" t="s">
        <v>3563</v>
      </c>
      <c r="D375" s="16">
        <v>372562</v>
      </c>
      <c r="E375" s="16" t="s">
        <v>6659</v>
      </c>
      <c r="F375" s="18" t="s">
        <v>3563</v>
      </c>
      <c r="G375" s="18" t="s">
        <v>106</v>
      </c>
      <c r="H375" s="15" t="s">
        <v>5127</v>
      </c>
      <c r="I375" s="18">
        <v>31</v>
      </c>
      <c r="J375" s="18">
        <v>19</v>
      </c>
      <c r="K375" s="18">
        <v>12</v>
      </c>
      <c r="L375" s="18">
        <v>0</v>
      </c>
      <c r="M375" s="18" t="s">
        <v>5183</v>
      </c>
      <c r="N375" s="18" t="s">
        <v>6351</v>
      </c>
      <c r="O375" s="18">
        <v>47568</v>
      </c>
      <c r="T375" s="18" t="s">
        <v>6257</v>
      </c>
      <c r="U375" s="18" t="s">
        <v>5250</v>
      </c>
      <c r="V375" s="18" t="s">
        <v>113</v>
      </c>
      <c r="W375" s="18" t="s">
        <v>5124</v>
      </c>
      <c r="Y375" s="18" t="s">
        <v>5656</v>
      </c>
      <c r="Z375" s="18" t="s">
        <v>106</v>
      </c>
      <c r="AA375" s="18" t="s">
        <v>5163</v>
      </c>
      <c r="AB375" s="18" t="s">
        <v>179</v>
      </c>
      <c r="AC375" s="18" t="s">
        <v>5127</v>
      </c>
      <c r="AD375" s="18" t="s">
        <v>5127</v>
      </c>
      <c r="AE375" s="18" t="s">
        <v>5127</v>
      </c>
      <c r="AF375" s="18" t="s">
        <v>111</v>
      </c>
      <c r="AG375" s="18" t="s">
        <v>5127</v>
      </c>
      <c r="AH375" s="18" t="s">
        <v>5127</v>
      </c>
      <c r="AI375" s="18">
        <v>1</v>
      </c>
      <c r="AK375" s="18" t="s">
        <v>5164</v>
      </c>
      <c r="AN375" s="18">
        <v>732628</v>
      </c>
      <c r="AO375" s="18" t="s">
        <v>5186</v>
      </c>
      <c r="AP375" s="18" t="s">
        <v>6352</v>
      </c>
      <c r="AQ375" s="18" t="s">
        <v>6353</v>
      </c>
      <c r="AR375" s="18" t="s">
        <v>5168</v>
      </c>
      <c r="AT375" s="17">
        <f>(365*D375*0.7)/1000</f>
        <v>95189.591</v>
      </c>
      <c r="AU375" s="17">
        <f t="shared" si="17"/>
        <v>46</v>
      </c>
      <c r="AV375" s="18">
        <f>46000/1000</f>
        <v>46</v>
      </c>
      <c r="AW375" s="18">
        <v>0</v>
      </c>
      <c r="AY375" s="18" t="s">
        <v>5237</v>
      </c>
      <c r="AZ375" s="18">
        <v>0</v>
      </c>
      <c r="BA375" s="18">
        <v>0</v>
      </c>
      <c r="BB375" s="18">
        <v>0</v>
      </c>
      <c r="BD375" s="18">
        <v>0</v>
      </c>
      <c r="BE375" s="18">
        <v>0</v>
      </c>
      <c r="BG375" s="18" t="s">
        <v>5634</v>
      </c>
      <c r="BH375" s="18">
        <v>0</v>
      </c>
      <c r="BI375" s="18">
        <v>0</v>
      </c>
      <c r="BJ375" s="18">
        <v>0</v>
      </c>
      <c r="BQ375" s="18">
        <f>249346/1000</f>
        <v>249.346</v>
      </c>
      <c r="BR375" s="18">
        <f>122789/1000</f>
        <v>122.789</v>
      </c>
      <c r="BS375" s="18">
        <f>86241/1000</f>
        <v>86.241</v>
      </c>
      <c r="BT375" s="18">
        <v>0</v>
      </c>
      <c r="BU375" s="18">
        <v>0</v>
      </c>
      <c r="BV375" s="18">
        <f>686628/1000</f>
        <v>686.62800000000004</v>
      </c>
      <c r="BW375" s="15">
        <f t="shared" si="18"/>
        <v>458.37599999999998</v>
      </c>
      <c r="BY375" s="18" t="s">
        <v>5134</v>
      </c>
      <c r="BZ375" s="18" t="s">
        <v>5312</v>
      </c>
      <c r="CD375" s="18" t="s">
        <v>5127</v>
      </c>
      <c r="CE375" s="18" t="s">
        <v>111</v>
      </c>
      <c r="CF375" s="18" t="s">
        <v>5282</v>
      </c>
      <c r="CG375" s="18" t="s">
        <v>6354</v>
      </c>
      <c r="CH375" s="18" t="s">
        <v>5551</v>
      </c>
      <c r="CI375" s="18" t="s">
        <v>5138</v>
      </c>
      <c r="CJ375" s="18" t="s">
        <v>5196</v>
      </c>
      <c r="CK375" s="18" t="s">
        <v>5256</v>
      </c>
      <c r="CL375" s="18">
        <v>0</v>
      </c>
      <c r="CM375" s="18">
        <v>2</v>
      </c>
      <c r="CN375" s="18">
        <v>0</v>
      </c>
      <c r="CO375" s="18">
        <v>1</v>
      </c>
      <c r="CP375" s="18">
        <v>0</v>
      </c>
      <c r="CQ375" s="18">
        <v>0</v>
      </c>
      <c r="CR375" s="18">
        <v>0</v>
      </c>
      <c r="CS375" s="18" t="s">
        <v>5141</v>
      </c>
      <c r="CT375" s="18">
        <v>0</v>
      </c>
      <c r="CU375" s="18">
        <v>0</v>
      </c>
      <c r="CV375" s="18">
        <v>0</v>
      </c>
      <c r="CX375" s="18">
        <v>0</v>
      </c>
      <c r="CY375" s="18">
        <v>0</v>
      </c>
      <c r="CZ375" s="18">
        <v>0</v>
      </c>
      <c r="DA375" s="18">
        <v>0</v>
      </c>
      <c r="DB375" s="18">
        <v>0</v>
      </c>
      <c r="DC375" s="18">
        <v>0</v>
      </c>
      <c r="DD375" s="18">
        <v>0</v>
      </c>
      <c r="DE375" s="18">
        <v>0</v>
      </c>
      <c r="DF375" s="18">
        <v>0</v>
      </c>
      <c r="DG375" s="18">
        <v>0</v>
      </c>
      <c r="DH375" s="18">
        <v>0</v>
      </c>
      <c r="DI375" s="18">
        <v>0</v>
      </c>
      <c r="DK375" s="18">
        <v>0</v>
      </c>
      <c r="DL375" s="18">
        <v>0</v>
      </c>
      <c r="DM375" s="18" t="s">
        <v>5127</v>
      </c>
      <c r="DN375" s="18" t="s">
        <v>5258</v>
      </c>
      <c r="DO375" s="18" t="s">
        <v>5315</v>
      </c>
      <c r="DP375" s="18" t="s">
        <v>113</v>
      </c>
      <c r="DS375" s="18">
        <v>0</v>
      </c>
      <c r="DT375" s="18">
        <v>1</v>
      </c>
      <c r="DU375" s="18">
        <v>0</v>
      </c>
      <c r="DV375" s="18" t="s">
        <v>5342</v>
      </c>
      <c r="DX375" s="18" t="s">
        <v>5222</v>
      </c>
      <c r="DY375" s="18" t="s">
        <v>106</v>
      </c>
      <c r="DZ375" s="18" t="s">
        <v>113</v>
      </c>
      <c r="EA375" s="18" t="s">
        <v>5146</v>
      </c>
      <c r="EB375" s="18">
        <v>686628</v>
      </c>
      <c r="EC375" s="18" t="s">
        <v>106</v>
      </c>
      <c r="ED375" s="18" t="s">
        <v>5176</v>
      </c>
      <c r="EE375" s="18" t="s">
        <v>106</v>
      </c>
      <c r="EF375" s="18" t="s">
        <v>106</v>
      </c>
      <c r="EG375" s="18" t="s">
        <v>5326</v>
      </c>
      <c r="EH375" s="18" t="s">
        <v>5203</v>
      </c>
      <c r="EI375" s="18" t="s">
        <v>5204</v>
      </c>
      <c r="EJ375" s="18" t="s">
        <v>5530</v>
      </c>
      <c r="EK375" s="18" t="s">
        <v>113</v>
      </c>
      <c r="EN375" s="18" t="s">
        <v>113</v>
      </c>
      <c r="EO375" s="18" t="s">
        <v>113</v>
      </c>
      <c r="EP375" s="18" t="s">
        <v>113</v>
      </c>
      <c r="EQ375" s="18" t="s">
        <v>113</v>
      </c>
      <c r="ER375" s="18" t="s">
        <v>5328</v>
      </c>
      <c r="ES375" s="18" t="s">
        <v>5756</v>
      </c>
      <c r="ET375" s="18" t="s">
        <v>5154</v>
      </c>
      <c r="EU375" s="18" t="s">
        <v>5318</v>
      </c>
      <c r="EV375" s="18" t="s">
        <v>5566</v>
      </c>
      <c r="EW375" s="18" t="s">
        <v>5291</v>
      </c>
      <c r="EX375" s="18" t="s">
        <v>5158</v>
      </c>
      <c r="EY375" s="18" t="s">
        <v>5181</v>
      </c>
      <c r="EZ375" s="18" t="s">
        <v>5182</v>
      </c>
      <c r="FA375" s="18" t="s">
        <v>144</v>
      </c>
      <c r="FB375" s="18" t="s">
        <v>5161</v>
      </c>
    </row>
    <row r="376" spans="1:158" ht="10.5" customHeight="1" x14ac:dyDescent="0.2">
      <c r="A376" s="16">
        <v>41</v>
      </c>
      <c r="B376" s="16" t="s">
        <v>3590</v>
      </c>
      <c r="C376" s="16" t="s">
        <v>3589</v>
      </c>
      <c r="D376" s="16">
        <v>32426</v>
      </c>
      <c r="E376" s="16" t="s">
        <v>6658</v>
      </c>
      <c r="F376" s="18" t="s">
        <v>3589</v>
      </c>
      <c r="G376" s="18" t="s">
        <v>106</v>
      </c>
      <c r="H376" s="15" t="s">
        <v>5127</v>
      </c>
      <c r="I376" s="18">
        <v>22</v>
      </c>
      <c r="J376" s="18">
        <v>7</v>
      </c>
      <c r="K376" s="18">
        <v>12</v>
      </c>
      <c r="L376" s="18">
        <v>3</v>
      </c>
      <c r="M376" s="18" t="s">
        <v>5121</v>
      </c>
      <c r="N376" s="18" t="s">
        <v>6355</v>
      </c>
      <c r="O376" s="18">
        <v>47176</v>
      </c>
      <c r="T376" s="18" t="s">
        <v>5854</v>
      </c>
      <c r="U376" s="18" t="s">
        <v>5185</v>
      </c>
      <c r="V376" s="18" t="s">
        <v>113</v>
      </c>
      <c r="W376" s="18" t="s">
        <v>5124</v>
      </c>
      <c r="Y376" s="18" t="s">
        <v>5232</v>
      </c>
      <c r="Z376" s="18" t="s">
        <v>106</v>
      </c>
      <c r="AA376" s="18" t="s">
        <v>5163</v>
      </c>
      <c r="AB376" s="18" t="s">
        <v>179</v>
      </c>
      <c r="AC376" s="18" t="s">
        <v>5127</v>
      </c>
      <c r="AD376" s="18" t="s">
        <v>111</v>
      </c>
      <c r="AE376" s="18" t="s">
        <v>111</v>
      </c>
      <c r="AF376" s="18" t="s">
        <v>111</v>
      </c>
      <c r="AG376" s="18" t="s">
        <v>5127</v>
      </c>
      <c r="AH376" s="18" t="s">
        <v>111</v>
      </c>
      <c r="AI376" s="18">
        <v>1</v>
      </c>
      <c r="AK376" s="18" t="s">
        <v>6356</v>
      </c>
      <c r="AN376" s="18">
        <v>539</v>
      </c>
      <c r="AO376" s="18" t="s">
        <v>5129</v>
      </c>
      <c r="AP376" s="18" t="s">
        <v>6357</v>
      </c>
      <c r="AQ376" s="18" t="s">
        <v>5269</v>
      </c>
      <c r="AR376" s="18" t="s">
        <v>5464</v>
      </c>
      <c r="AT376" s="17">
        <f>(365*D376*0.7)/1000</f>
        <v>8284.8429999999989</v>
      </c>
      <c r="AU376" s="17">
        <f t="shared" si="17"/>
        <v>7</v>
      </c>
      <c r="AV376" s="18">
        <v>7</v>
      </c>
      <c r="AW376" s="18">
        <v>0</v>
      </c>
      <c r="AY376" s="18" t="s">
        <v>5334</v>
      </c>
      <c r="BG376" s="18" t="s">
        <v>5238</v>
      </c>
      <c r="BI376" s="18">
        <f>2210/1000</f>
        <v>2.21</v>
      </c>
      <c r="BQ376" s="18">
        <v>165</v>
      </c>
      <c r="BR376" s="18">
        <v>78</v>
      </c>
      <c r="BS376" s="18">
        <v>97</v>
      </c>
      <c r="BT376" s="18">
        <v>189</v>
      </c>
      <c r="BU376" s="18">
        <v>1</v>
      </c>
      <c r="BV376" s="18">
        <v>531</v>
      </c>
      <c r="BW376" s="15">
        <f t="shared" si="18"/>
        <v>530</v>
      </c>
      <c r="BY376" s="18" t="s">
        <v>6358</v>
      </c>
      <c r="BZ376" s="18" t="s">
        <v>5528</v>
      </c>
      <c r="CD376" s="18" t="s">
        <v>5127</v>
      </c>
      <c r="CE376" s="18" t="s">
        <v>111</v>
      </c>
      <c r="CF376" s="18" t="s">
        <v>5135</v>
      </c>
      <c r="CG376" s="18" t="s">
        <v>6359</v>
      </c>
      <c r="CH376" s="18" t="s">
        <v>111</v>
      </c>
      <c r="CI376" s="18" t="s">
        <v>5195</v>
      </c>
      <c r="CJ376" s="18" t="s">
        <v>5196</v>
      </c>
      <c r="CK376" s="18" t="s">
        <v>6360</v>
      </c>
      <c r="CL376" s="18">
        <v>2</v>
      </c>
      <c r="CM376" s="18">
        <v>1</v>
      </c>
      <c r="CN376" s="18">
        <v>2</v>
      </c>
      <c r="CO376" s="18">
        <v>2</v>
      </c>
      <c r="CP376" s="18">
        <v>3</v>
      </c>
      <c r="CQ376" s="18">
        <v>1</v>
      </c>
      <c r="CR376" s="18">
        <v>3</v>
      </c>
      <c r="CS376" s="18" t="s">
        <v>5141</v>
      </c>
      <c r="CT376" s="18">
        <v>0</v>
      </c>
      <c r="CU376" s="18">
        <v>0</v>
      </c>
      <c r="CV376" s="18" t="s">
        <v>5141</v>
      </c>
      <c r="CX376" s="18">
        <v>1</v>
      </c>
      <c r="CY376" s="18">
        <v>2</v>
      </c>
      <c r="CZ376" s="18">
        <v>1</v>
      </c>
      <c r="DA376" s="18">
        <v>1</v>
      </c>
      <c r="DB376" s="18">
        <v>2</v>
      </c>
      <c r="DC376" s="18">
        <v>2</v>
      </c>
      <c r="DD376" s="18">
        <v>1</v>
      </c>
      <c r="DE376" s="18">
        <v>3</v>
      </c>
      <c r="DF376" s="18" t="s">
        <v>5141</v>
      </c>
      <c r="DG376" s="18">
        <v>0</v>
      </c>
      <c r="DH376" s="18">
        <v>0</v>
      </c>
      <c r="DI376" s="18" t="s">
        <v>5141</v>
      </c>
      <c r="DK376" s="18">
        <v>0</v>
      </c>
      <c r="DL376" s="18">
        <v>0</v>
      </c>
      <c r="DM376" s="18" t="s">
        <v>5127</v>
      </c>
      <c r="DN376" s="18" t="s">
        <v>5314</v>
      </c>
      <c r="DO376" s="18" t="s">
        <v>5371</v>
      </c>
      <c r="DP376" s="18" t="s">
        <v>113</v>
      </c>
      <c r="DS376" s="18">
        <v>0</v>
      </c>
      <c r="DT376" s="18">
        <v>2</v>
      </c>
      <c r="DU376" s="18">
        <v>2</v>
      </c>
      <c r="DV376" s="18" t="s">
        <v>5342</v>
      </c>
      <c r="DX376" s="18" t="s">
        <v>5201</v>
      </c>
      <c r="DY376" s="18" t="s">
        <v>113</v>
      </c>
      <c r="DZ376" s="18" t="s">
        <v>113</v>
      </c>
      <c r="EA376" s="18" t="s">
        <v>5337</v>
      </c>
      <c r="EB376" s="18">
        <v>531</v>
      </c>
      <c r="EC376" s="18" t="s">
        <v>113</v>
      </c>
      <c r="ED376" s="18" t="s">
        <v>5176</v>
      </c>
      <c r="EF376" s="18" t="s">
        <v>113</v>
      </c>
      <c r="EG376" s="18" t="s">
        <v>5326</v>
      </c>
      <c r="EH376" s="18" t="s">
        <v>5149</v>
      </c>
      <c r="EI376" s="18" t="s">
        <v>5204</v>
      </c>
      <c r="EJ376" s="18" t="s">
        <v>5316</v>
      </c>
      <c r="EN376" s="18" t="s">
        <v>113</v>
      </c>
      <c r="ER376" s="18" t="s">
        <v>5206</v>
      </c>
      <c r="ET376" s="18" t="s">
        <v>5154</v>
      </c>
      <c r="EX376" s="18" t="s">
        <v>5158</v>
      </c>
      <c r="EY376" s="18" t="s">
        <v>5292</v>
      </c>
      <c r="EZ376" s="18" t="s">
        <v>5160</v>
      </c>
      <c r="FA376" s="18" t="s">
        <v>144</v>
      </c>
      <c r="FB376" s="18" t="s">
        <v>5161</v>
      </c>
    </row>
    <row r="377" spans="1:158" ht="10.5" customHeight="1" x14ac:dyDescent="0.2">
      <c r="A377" s="16">
        <v>41</v>
      </c>
      <c r="B377" s="16" t="s">
        <v>3020</v>
      </c>
      <c r="C377" s="16" t="s">
        <v>3021</v>
      </c>
      <c r="D377" s="16">
        <v>11438</v>
      </c>
      <c r="E377" s="16" t="s">
        <v>6656</v>
      </c>
      <c r="H377" s="15" t="s">
        <v>6661</v>
      </c>
      <c r="AT377" s="17">
        <f>(365*D377*0.7)/1000</f>
        <v>2922.4090000000001</v>
      </c>
      <c r="AU377" s="17">
        <f t="shared" si="17"/>
        <v>0</v>
      </c>
      <c r="BW377" s="15">
        <f t="shared" si="18"/>
        <v>0</v>
      </c>
    </row>
    <row r="378" spans="1:158" ht="10.5" customHeight="1" x14ac:dyDescent="0.2">
      <c r="A378" s="16">
        <v>41</v>
      </c>
      <c r="B378" s="16" t="s">
        <v>3605</v>
      </c>
      <c r="C378" s="16" t="s">
        <v>3604</v>
      </c>
      <c r="D378" s="16">
        <v>4099</v>
      </c>
      <c r="E378" s="16" t="s">
        <v>6656</v>
      </c>
      <c r="F378" s="18" t="s">
        <v>3604</v>
      </c>
      <c r="G378" s="18" t="s">
        <v>106</v>
      </c>
      <c r="H378" s="15" t="s">
        <v>5127</v>
      </c>
      <c r="I378" s="18">
        <v>20</v>
      </c>
      <c r="J378" s="18">
        <v>8</v>
      </c>
      <c r="K378" s="18">
        <v>12</v>
      </c>
      <c r="M378" s="18" t="s">
        <v>5183</v>
      </c>
      <c r="N378" s="18">
        <v>344911</v>
      </c>
      <c r="O378" s="18">
        <v>49400</v>
      </c>
      <c r="T378" s="18" t="s">
        <v>6336</v>
      </c>
      <c r="U378" s="18" t="s">
        <v>5123</v>
      </c>
      <c r="V378" s="18" t="s">
        <v>113</v>
      </c>
      <c r="W378" s="18" t="s">
        <v>5211</v>
      </c>
      <c r="Y378" s="18" t="s">
        <v>5232</v>
      </c>
      <c r="Z378" s="18" t="s">
        <v>106</v>
      </c>
      <c r="AA378" s="18" t="s">
        <v>5126</v>
      </c>
      <c r="AC378" s="18" t="s">
        <v>5127</v>
      </c>
      <c r="AD378" s="18" t="s">
        <v>5127</v>
      </c>
      <c r="AE378" s="18" t="s">
        <v>5127</v>
      </c>
      <c r="AF378" s="18" t="s">
        <v>111</v>
      </c>
      <c r="AG378" s="18" t="s">
        <v>5127</v>
      </c>
      <c r="AH378" s="18" t="s">
        <v>5127</v>
      </c>
      <c r="AI378" s="18">
        <v>1</v>
      </c>
      <c r="AK378" s="18" t="s">
        <v>5509</v>
      </c>
      <c r="AN378" s="18">
        <v>670</v>
      </c>
      <c r="AO378" s="18" t="s">
        <v>5165</v>
      </c>
      <c r="AP378" s="18" t="s">
        <v>6016</v>
      </c>
      <c r="AQ378" s="18" t="s">
        <v>5826</v>
      </c>
      <c r="AR378" s="18" t="s">
        <v>5168</v>
      </c>
      <c r="AT378" s="17">
        <f>(365*D378*0.7)/1000</f>
        <v>1047.2945</v>
      </c>
      <c r="AU378" s="17">
        <f t="shared" si="17"/>
        <v>244</v>
      </c>
      <c r="AV378" s="18">
        <v>244</v>
      </c>
      <c r="AW378" s="18">
        <v>0</v>
      </c>
      <c r="AY378" s="18" t="s">
        <v>5840</v>
      </c>
      <c r="BG378" s="18" t="s">
        <v>5375</v>
      </c>
      <c r="BQ378" s="18">
        <f>23099/1000</f>
        <v>23.099</v>
      </c>
      <c r="BR378" s="18">
        <f>151831/1000</f>
        <v>151.83099999999999</v>
      </c>
      <c r="BS378" s="18">
        <f>56790/1000</f>
        <v>56.79</v>
      </c>
      <c r="BT378" s="18">
        <f>33561/1000</f>
        <v>33.561</v>
      </c>
      <c r="BU378" s="18">
        <f>3000/1000</f>
        <v>3</v>
      </c>
      <c r="BV378" s="18">
        <f>SUM(BQ378:BU378)</f>
        <v>268.28099999999995</v>
      </c>
      <c r="BW378" s="15">
        <f t="shared" si="18"/>
        <v>268.28099999999995</v>
      </c>
      <c r="BY378" s="18" t="s">
        <v>5134</v>
      </c>
      <c r="BZ378" s="18" t="s">
        <v>6361</v>
      </c>
      <c r="CD378" s="18" t="s">
        <v>5127</v>
      </c>
      <c r="CE378" s="18" t="s">
        <v>5127</v>
      </c>
      <c r="CF378" s="18" t="s">
        <v>5135</v>
      </c>
      <c r="CG378" s="18" t="s">
        <v>5193</v>
      </c>
      <c r="CH378" s="18" t="s">
        <v>5137</v>
      </c>
      <c r="CI378" s="18" t="s">
        <v>5138</v>
      </c>
      <c r="CJ378" s="18" t="s">
        <v>5196</v>
      </c>
      <c r="CK378" s="18" t="s">
        <v>5197</v>
      </c>
      <c r="CL378" s="18">
        <v>3</v>
      </c>
      <c r="CM378" s="18">
        <v>0</v>
      </c>
      <c r="CN378" s="18">
        <v>0</v>
      </c>
      <c r="CO378" s="18">
        <v>1</v>
      </c>
      <c r="CP378" s="18">
        <v>3</v>
      </c>
      <c r="CQ378" s="18">
        <v>0</v>
      </c>
      <c r="CR378" s="18">
        <v>0</v>
      </c>
      <c r="CS378" s="18" t="s">
        <v>5141</v>
      </c>
      <c r="CT378" s="18">
        <v>1</v>
      </c>
      <c r="CU378" s="18">
        <v>1</v>
      </c>
      <c r="CV378" s="18" t="s">
        <v>5141</v>
      </c>
      <c r="CX378" s="18">
        <v>1</v>
      </c>
      <c r="CY378" s="18">
        <v>0</v>
      </c>
      <c r="CZ378" s="18">
        <v>1</v>
      </c>
      <c r="DA378" s="18">
        <v>1</v>
      </c>
      <c r="DB378" s="18">
        <v>1</v>
      </c>
      <c r="DC378" s="18">
        <v>0</v>
      </c>
      <c r="DD378" s="18">
        <v>1</v>
      </c>
      <c r="DE378" s="18">
        <v>1</v>
      </c>
      <c r="DF378" s="18" t="s">
        <v>5141</v>
      </c>
      <c r="DG378" s="18">
        <v>1</v>
      </c>
      <c r="DH378" s="18">
        <v>0</v>
      </c>
      <c r="DI378" s="18" t="s">
        <v>5141</v>
      </c>
      <c r="DK378" s="18">
        <v>0</v>
      </c>
      <c r="DL378" s="18">
        <v>0</v>
      </c>
      <c r="DM378" s="18" t="s">
        <v>5127</v>
      </c>
      <c r="DN378" s="18" t="s">
        <v>5716</v>
      </c>
      <c r="DO378" s="18" t="s">
        <v>5850</v>
      </c>
      <c r="DP378" s="18" t="s">
        <v>113</v>
      </c>
      <c r="DS378" s="18">
        <v>0</v>
      </c>
      <c r="DT378" s="18">
        <v>1</v>
      </c>
      <c r="DU378" s="18">
        <v>1</v>
      </c>
      <c r="DV378" s="18" t="s">
        <v>5174</v>
      </c>
      <c r="DX378" s="18" t="s">
        <v>5201</v>
      </c>
      <c r="DY378" s="18" t="s">
        <v>106</v>
      </c>
      <c r="DZ378" s="18" t="s">
        <v>113</v>
      </c>
      <c r="EA378" s="18" t="s">
        <v>5586</v>
      </c>
      <c r="EB378" s="18">
        <v>426312</v>
      </c>
      <c r="EC378" s="18" t="s">
        <v>106</v>
      </c>
      <c r="ED378" s="18" t="s">
        <v>5176</v>
      </c>
      <c r="EE378" s="18" t="s">
        <v>106</v>
      </c>
      <c r="EF378" s="18" t="s">
        <v>106</v>
      </c>
      <c r="EG378" s="18" t="s">
        <v>5148</v>
      </c>
      <c r="EH378" s="18" t="s">
        <v>5203</v>
      </c>
      <c r="EI378" s="18" t="s">
        <v>5204</v>
      </c>
      <c r="EJ378" s="18" t="s">
        <v>5245</v>
      </c>
      <c r="EK378" s="18" t="s">
        <v>113</v>
      </c>
      <c r="EN378" s="18" t="s">
        <v>113</v>
      </c>
      <c r="EO378" s="18" t="s">
        <v>113</v>
      </c>
      <c r="EP378" s="18" t="s">
        <v>113</v>
      </c>
      <c r="EQ378" s="18" t="s">
        <v>113</v>
      </c>
      <c r="ER378" s="18" t="s">
        <v>5152</v>
      </c>
      <c r="ES378" s="18" t="s">
        <v>5153</v>
      </c>
      <c r="ET378" s="18" t="s">
        <v>5154</v>
      </c>
      <c r="EU378" s="18" t="s">
        <v>5318</v>
      </c>
      <c r="EV378" s="18" t="s">
        <v>6362</v>
      </c>
      <c r="EW378" s="18" t="s">
        <v>179</v>
      </c>
      <c r="EX378" s="18" t="s">
        <v>5158</v>
      </c>
      <c r="EY378" s="18" t="s">
        <v>5438</v>
      </c>
      <c r="EZ378" s="18" t="s">
        <v>5182</v>
      </c>
      <c r="FA378" s="18" t="s">
        <v>144</v>
      </c>
      <c r="FB378" s="18" t="s">
        <v>5161</v>
      </c>
    </row>
    <row r="379" spans="1:158" ht="10.5" customHeight="1" x14ac:dyDescent="0.2">
      <c r="A379" s="16">
        <v>41</v>
      </c>
      <c r="B379" s="16" t="s">
        <v>3617</v>
      </c>
      <c r="C379" s="16" t="s">
        <v>3616</v>
      </c>
      <c r="D379" s="16">
        <v>3078</v>
      </c>
      <c r="E379" s="16" t="s">
        <v>6656</v>
      </c>
      <c r="F379" s="18" t="s">
        <v>3616</v>
      </c>
      <c r="G379" s="18" t="s">
        <v>113</v>
      </c>
      <c r="H379" s="15" t="s">
        <v>111</v>
      </c>
      <c r="AT379" s="17">
        <f>(365*D379*0.7)/1000</f>
        <v>786.42899999999997</v>
      </c>
      <c r="AU379" s="17">
        <f t="shared" si="17"/>
        <v>0</v>
      </c>
      <c r="BW379" s="15">
        <f t="shared" si="18"/>
        <v>0</v>
      </c>
    </row>
    <row r="380" spans="1:158" ht="10.5" customHeight="1" x14ac:dyDescent="0.2">
      <c r="A380" s="16">
        <v>41</v>
      </c>
      <c r="B380" s="16" t="s">
        <v>3629</v>
      </c>
      <c r="C380" s="16" t="s">
        <v>3628</v>
      </c>
      <c r="D380" s="16">
        <v>3316</v>
      </c>
      <c r="E380" s="16" t="s">
        <v>6656</v>
      </c>
      <c r="F380" s="18" t="s">
        <v>3628</v>
      </c>
      <c r="G380" s="18" t="s">
        <v>106</v>
      </c>
      <c r="H380" s="15" t="s">
        <v>5127</v>
      </c>
      <c r="I380" s="18">
        <v>7</v>
      </c>
      <c r="J380" s="18">
        <v>3</v>
      </c>
      <c r="K380" s="18">
        <v>4</v>
      </c>
      <c r="L380" s="18">
        <v>0</v>
      </c>
      <c r="M380" s="18" t="s">
        <v>5183</v>
      </c>
      <c r="N380" s="18" t="s">
        <v>6363</v>
      </c>
      <c r="O380" s="18">
        <v>46628</v>
      </c>
      <c r="T380" s="18" t="s">
        <v>111</v>
      </c>
      <c r="U380" s="18" t="s">
        <v>5250</v>
      </c>
      <c r="V380" s="18" t="s">
        <v>106</v>
      </c>
      <c r="W380" s="18" t="s">
        <v>5211</v>
      </c>
      <c r="Y380" s="18" t="s">
        <v>5162</v>
      </c>
      <c r="Z380" s="18" t="s">
        <v>106</v>
      </c>
      <c r="AA380" s="18" t="s">
        <v>5163</v>
      </c>
      <c r="AB380" s="18" t="s">
        <v>179</v>
      </c>
      <c r="AC380" s="18" t="s">
        <v>5127</v>
      </c>
      <c r="AD380" s="18" t="s">
        <v>5127</v>
      </c>
      <c r="AE380" s="18" t="s">
        <v>5127</v>
      </c>
      <c r="AF380" s="18" t="s">
        <v>5127</v>
      </c>
      <c r="AG380" s="18" t="s">
        <v>5127</v>
      </c>
      <c r="AH380" s="18" t="s">
        <v>5127</v>
      </c>
      <c r="AI380" s="18">
        <v>1</v>
      </c>
      <c r="AK380" s="18" t="s">
        <v>5164</v>
      </c>
      <c r="AN380" s="18">
        <v>1000</v>
      </c>
      <c r="AO380" s="18" t="s">
        <v>5186</v>
      </c>
      <c r="AP380" s="18" t="s">
        <v>6364</v>
      </c>
      <c r="AQ380" s="18" t="s">
        <v>6365</v>
      </c>
      <c r="AR380" s="18" t="s">
        <v>5168</v>
      </c>
      <c r="AT380" s="17">
        <f>(365*D380*0.7)/1000</f>
        <v>847.23800000000006</v>
      </c>
      <c r="AU380" s="17">
        <f t="shared" si="17"/>
        <v>1</v>
      </c>
      <c r="AV380" s="18">
        <f>1000/1000</f>
        <v>1</v>
      </c>
      <c r="AW380" s="18" t="s">
        <v>1365</v>
      </c>
      <c r="AY380" s="18" t="s">
        <v>5620</v>
      </c>
      <c r="AZ380" s="18">
        <v>0</v>
      </c>
      <c r="BA380" s="18">
        <v>0</v>
      </c>
      <c r="BB380" s="18">
        <v>0</v>
      </c>
      <c r="BD380" s="18">
        <f>5000/1000</f>
        <v>5</v>
      </c>
      <c r="BE380" s="18">
        <v>34</v>
      </c>
      <c r="BG380" s="18" t="s">
        <v>5281</v>
      </c>
      <c r="BH380" s="18">
        <v>0</v>
      </c>
      <c r="BI380" s="18">
        <v>0</v>
      </c>
      <c r="BJ380" s="18">
        <v>0</v>
      </c>
      <c r="BQ380" s="18">
        <v>56</v>
      </c>
      <c r="BR380" s="18">
        <v>47</v>
      </c>
      <c r="BS380" s="18">
        <v>28</v>
      </c>
      <c r="BT380" s="18">
        <v>38</v>
      </c>
      <c r="BU380" s="18">
        <v>18</v>
      </c>
      <c r="BV380" s="18">
        <v>187</v>
      </c>
      <c r="BW380" s="15">
        <f t="shared" si="18"/>
        <v>187</v>
      </c>
      <c r="BY380" s="18" t="s">
        <v>5134</v>
      </c>
      <c r="BZ380" s="18" t="s">
        <v>5240</v>
      </c>
      <c r="CD380" s="18" t="s">
        <v>5127</v>
      </c>
      <c r="CE380" s="18" t="s">
        <v>111</v>
      </c>
      <c r="CF380" s="18" t="s">
        <v>5135</v>
      </c>
      <c r="CG380" s="18" t="s">
        <v>5590</v>
      </c>
      <c r="CH380" s="18" t="s">
        <v>5241</v>
      </c>
      <c r="CI380" s="18" t="s">
        <v>5195</v>
      </c>
      <c r="CJ380" s="18" t="s">
        <v>5139</v>
      </c>
      <c r="CK380" s="18" t="s">
        <v>5197</v>
      </c>
      <c r="CL380" s="18">
        <v>2</v>
      </c>
      <c r="CM380" s="18">
        <v>0</v>
      </c>
      <c r="CN380" s="18">
        <v>0</v>
      </c>
      <c r="CO380" s="18">
        <v>1</v>
      </c>
      <c r="CP380" s="18">
        <v>2</v>
      </c>
      <c r="CQ380" s="18">
        <v>1</v>
      </c>
      <c r="CR380" s="18">
        <v>0</v>
      </c>
      <c r="CS380" s="18" t="s">
        <v>5141</v>
      </c>
      <c r="CT380" s="18">
        <v>0</v>
      </c>
      <c r="CU380" s="18">
        <v>0</v>
      </c>
      <c r="CV380" s="18">
        <v>2</v>
      </c>
      <c r="CX380" s="18">
        <v>0</v>
      </c>
      <c r="CY380" s="18">
        <v>2</v>
      </c>
      <c r="CZ380" s="18">
        <v>0</v>
      </c>
      <c r="DA380" s="18">
        <v>1</v>
      </c>
      <c r="DB380" s="18">
        <v>1</v>
      </c>
      <c r="DC380" s="18">
        <v>1</v>
      </c>
      <c r="DD380" s="18">
        <v>1</v>
      </c>
      <c r="DE380" s="18">
        <v>0</v>
      </c>
      <c r="DF380" s="18" t="s">
        <v>5257</v>
      </c>
      <c r="DG380" s="18">
        <v>1</v>
      </c>
      <c r="DH380" s="18">
        <v>1</v>
      </c>
      <c r="DI380" s="18">
        <v>3</v>
      </c>
      <c r="DK380" s="18">
        <v>1</v>
      </c>
      <c r="DL380" s="18">
        <v>0</v>
      </c>
      <c r="DM380" s="18" t="s">
        <v>5127</v>
      </c>
      <c r="DN380" s="18" t="s">
        <v>5198</v>
      </c>
      <c r="DO380" s="18" t="s">
        <v>5665</v>
      </c>
      <c r="DP380" s="18" t="s">
        <v>113</v>
      </c>
      <c r="DQ380" s="18" t="s">
        <v>5168</v>
      </c>
      <c r="DS380" s="18">
        <v>0</v>
      </c>
      <c r="DT380" s="18">
        <v>1</v>
      </c>
      <c r="DU380" s="18">
        <v>1</v>
      </c>
      <c r="DV380" s="18" t="s">
        <v>5444</v>
      </c>
      <c r="DX380" s="18" t="s">
        <v>5222</v>
      </c>
      <c r="DY380" s="18" t="s">
        <v>106</v>
      </c>
      <c r="DZ380" s="18" t="s">
        <v>113</v>
      </c>
      <c r="EA380" s="18" t="s">
        <v>5146</v>
      </c>
      <c r="EB380" s="18">
        <v>187</v>
      </c>
      <c r="EC380" s="18" t="s">
        <v>106</v>
      </c>
      <c r="ED380" s="18" t="s">
        <v>5147</v>
      </c>
      <c r="EE380" s="18" t="s">
        <v>106</v>
      </c>
      <c r="EF380" s="18" t="s">
        <v>113</v>
      </c>
      <c r="EG380" s="18" t="s">
        <v>5326</v>
      </c>
      <c r="EH380" s="18" t="s">
        <v>5203</v>
      </c>
      <c r="EI380" s="18" t="s">
        <v>5204</v>
      </c>
      <c r="EJ380" s="18" t="s">
        <v>5468</v>
      </c>
      <c r="EK380" s="18" t="s">
        <v>113</v>
      </c>
      <c r="EL380" s="18" t="s">
        <v>1582</v>
      </c>
      <c r="EM380" s="18" t="s">
        <v>1582</v>
      </c>
      <c r="EN380" s="18" t="s">
        <v>106</v>
      </c>
      <c r="EO380" s="18" t="s">
        <v>113</v>
      </c>
      <c r="EP380" s="18" t="s">
        <v>113</v>
      </c>
      <c r="EQ380" s="18" t="s">
        <v>113</v>
      </c>
      <c r="ER380" s="18" t="s">
        <v>5152</v>
      </c>
      <c r="ES380" s="18" t="s">
        <v>5153</v>
      </c>
      <c r="ET380" s="18" t="s">
        <v>5154</v>
      </c>
      <c r="EU380" s="18" t="s">
        <v>5155</v>
      </c>
      <c r="EV380" s="18" t="s">
        <v>6163</v>
      </c>
      <c r="EW380" s="18" t="s">
        <v>5563</v>
      </c>
      <c r="EX380" s="18" t="s">
        <v>5158</v>
      </c>
      <c r="EY380" s="18" t="s">
        <v>5229</v>
      </c>
      <c r="EZ380" s="18" t="s">
        <v>5160</v>
      </c>
      <c r="FA380" s="18" t="s">
        <v>144</v>
      </c>
      <c r="FB380" s="18" t="s">
        <v>5161</v>
      </c>
    </row>
    <row r="381" spans="1:158" ht="10.5" customHeight="1" x14ac:dyDescent="0.2">
      <c r="A381" s="16">
        <v>41</v>
      </c>
      <c r="B381" s="16" t="s">
        <v>3644</v>
      </c>
      <c r="C381" s="16" t="s">
        <v>3643</v>
      </c>
      <c r="D381" s="16">
        <v>3549</v>
      </c>
      <c r="E381" s="16" t="s">
        <v>6656</v>
      </c>
      <c r="F381" s="18" t="s">
        <v>3643</v>
      </c>
      <c r="G381" s="18" t="s">
        <v>106</v>
      </c>
      <c r="H381" s="15" t="s">
        <v>5127</v>
      </c>
      <c r="I381" s="18">
        <v>5</v>
      </c>
      <c r="J381" s="18">
        <v>3</v>
      </c>
      <c r="K381" s="18">
        <v>2</v>
      </c>
      <c r="L381" s="18">
        <v>0</v>
      </c>
      <c r="M381" s="18" t="s">
        <v>5121</v>
      </c>
      <c r="N381" s="18" t="s">
        <v>6366</v>
      </c>
      <c r="O381" s="18">
        <v>44843</v>
      </c>
      <c r="T381" s="18" t="s">
        <v>111</v>
      </c>
      <c r="U381" s="18" t="s">
        <v>5250</v>
      </c>
      <c r="V381" s="18" t="s">
        <v>113</v>
      </c>
      <c r="W381" s="18" t="s">
        <v>113</v>
      </c>
      <c r="Y381" s="18" t="s">
        <v>5162</v>
      </c>
      <c r="Z381" s="18" t="s">
        <v>106</v>
      </c>
      <c r="AA381" s="18" t="s">
        <v>5163</v>
      </c>
      <c r="AB381" s="18" t="s">
        <v>179</v>
      </c>
      <c r="AC381" s="18" t="s">
        <v>5127</v>
      </c>
      <c r="AD381" s="18" t="s">
        <v>5127</v>
      </c>
      <c r="AE381" s="18" t="s">
        <v>5127</v>
      </c>
      <c r="AF381" s="18" t="s">
        <v>5127</v>
      </c>
      <c r="AG381" s="18" t="s">
        <v>5127</v>
      </c>
      <c r="AH381" s="18" t="s">
        <v>5127</v>
      </c>
      <c r="AI381" s="18">
        <v>1</v>
      </c>
      <c r="AK381" s="18" t="s">
        <v>5279</v>
      </c>
      <c r="AN381" s="18">
        <v>150</v>
      </c>
      <c r="AO381" s="18" t="s">
        <v>5129</v>
      </c>
      <c r="AP381" s="18" t="s">
        <v>6367</v>
      </c>
      <c r="AQ381" s="18" t="s">
        <v>5252</v>
      </c>
      <c r="AR381" s="18" t="s">
        <v>179</v>
      </c>
      <c r="AT381" s="17">
        <f>(365*D381*0.7)/1000</f>
        <v>906.76949999999999</v>
      </c>
      <c r="AU381" s="17">
        <f t="shared" si="17"/>
        <v>0</v>
      </c>
      <c r="AV381" s="18">
        <v>0</v>
      </c>
      <c r="AW381" s="18">
        <v>0</v>
      </c>
      <c r="AY381" s="18" t="s">
        <v>164</v>
      </c>
      <c r="AZ381" s="18">
        <v>0</v>
      </c>
      <c r="BA381" s="18">
        <v>0</v>
      </c>
      <c r="BB381" s="18">
        <v>0</v>
      </c>
      <c r="BD381" s="18">
        <v>0</v>
      </c>
      <c r="BE381" s="18">
        <v>0</v>
      </c>
      <c r="BG381" s="18" t="s">
        <v>5281</v>
      </c>
      <c r="BH381" s="18">
        <v>0</v>
      </c>
      <c r="BI381" s="18">
        <v>0</v>
      </c>
      <c r="BJ381" s="18">
        <v>0</v>
      </c>
      <c r="BQ381" s="18">
        <v>10</v>
      </c>
      <c r="BR381" s="18">
        <v>10</v>
      </c>
      <c r="BS381" s="18">
        <v>10</v>
      </c>
      <c r="BT381" s="18">
        <v>6</v>
      </c>
      <c r="BU381" s="18">
        <v>0</v>
      </c>
      <c r="BV381" s="18">
        <v>36</v>
      </c>
      <c r="BW381" s="15">
        <f t="shared" si="18"/>
        <v>36</v>
      </c>
      <c r="BY381" s="18" t="s">
        <v>5134</v>
      </c>
      <c r="BZ381" s="18" t="s">
        <v>193</v>
      </c>
      <c r="CD381" s="18" t="s">
        <v>5127</v>
      </c>
      <c r="CE381" s="18" t="s">
        <v>5127</v>
      </c>
      <c r="CF381" s="18" t="s">
        <v>5135</v>
      </c>
      <c r="CG381" s="18" t="s">
        <v>6027</v>
      </c>
      <c r="CH381" s="18" t="s">
        <v>5241</v>
      </c>
      <c r="CI381" s="18" t="s">
        <v>111</v>
      </c>
      <c r="CJ381" s="18" t="s">
        <v>5139</v>
      </c>
      <c r="CK381" s="18" t="s">
        <v>179</v>
      </c>
      <c r="CL381" s="18">
        <v>2</v>
      </c>
      <c r="CM381" s="18">
        <v>0</v>
      </c>
      <c r="CN381" s="18">
        <v>0</v>
      </c>
      <c r="CO381" s="18">
        <v>1</v>
      </c>
      <c r="CP381" s="18">
        <v>0</v>
      </c>
      <c r="CQ381" s="18">
        <v>0</v>
      </c>
      <c r="CR381" s="18" t="s">
        <v>5141</v>
      </c>
      <c r="CS381" s="18" t="s">
        <v>5141</v>
      </c>
      <c r="CT381" s="18">
        <v>0</v>
      </c>
      <c r="CU381" s="18">
        <v>1</v>
      </c>
      <c r="CV381" s="18">
        <v>0</v>
      </c>
      <c r="CX381" s="18">
        <v>0</v>
      </c>
      <c r="CY381" s="18">
        <v>0</v>
      </c>
      <c r="CZ381" s="18">
        <v>0</v>
      </c>
      <c r="DA381" s="18">
        <v>0</v>
      </c>
      <c r="DB381" s="18">
        <v>1</v>
      </c>
      <c r="DC381" s="18">
        <v>0</v>
      </c>
      <c r="DD381" s="18">
        <v>1</v>
      </c>
      <c r="DE381" s="18">
        <v>1</v>
      </c>
      <c r="DF381" s="18">
        <v>1</v>
      </c>
      <c r="DG381" s="18">
        <v>0</v>
      </c>
      <c r="DH381" s="18">
        <v>0</v>
      </c>
      <c r="DI381" s="18">
        <v>0</v>
      </c>
      <c r="DK381" s="18">
        <v>0</v>
      </c>
      <c r="DL381" s="18">
        <v>0</v>
      </c>
      <c r="DM381" s="18" t="s">
        <v>5127</v>
      </c>
      <c r="DN381" s="18" t="s">
        <v>5258</v>
      </c>
      <c r="DO381" s="18" t="s">
        <v>5259</v>
      </c>
      <c r="DP381" s="18" t="s">
        <v>106</v>
      </c>
      <c r="DQ381" s="18" t="s">
        <v>179</v>
      </c>
      <c r="DS381" s="18">
        <v>0</v>
      </c>
      <c r="DT381" s="18">
        <v>0</v>
      </c>
      <c r="DU381" s="18">
        <v>1</v>
      </c>
      <c r="DV381" s="18" t="s">
        <v>111</v>
      </c>
      <c r="DX381" s="18" t="s">
        <v>5201</v>
      </c>
      <c r="DY381" s="18" t="s">
        <v>106</v>
      </c>
      <c r="DZ381" s="18" t="s">
        <v>113</v>
      </c>
      <c r="EA381" s="18" t="s">
        <v>5146</v>
      </c>
      <c r="EB381" s="18">
        <v>36</v>
      </c>
      <c r="EC381" s="18" t="s">
        <v>113</v>
      </c>
      <c r="ED381" s="18" t="s">
        <v>5147</v>
      </c>
      <c r="EE381" s="18" t="s">
        <v>113</v>
      </c>
      <c r="EF381" s="18" t="s">
        <v>113</v>
      </c>
      <c r="EG381" s="18" t="s">
        <v>5148</v>
      </c>
      <c r="EH381" s="18" t="s">
        <v>5203</v>
      </c>
      <c r="EI381" s="18" t="s">
        <v>5204</v>
      </c>
      <c r="EJ381" s="18" t="s">
        <v>5675</v>
      </c>
      <c r="EK381" s="18" t="s">
        <v>113</v>
      </c>
      <c r="EL381" s="18" t="s">
        <v>135</v>
      </c>
      <c r="EM381" s="18" t="s">
        <v>6368</v>
      </c>
      <c r="EN381" s="18" t="s">
        <v>113</v>
      </c>
      <c r="EO381" s="18" t="s">
        <v>113</v>
      </c>
      <c r="EP381" s="18" t="s">
        <v>113</v>
      </c>
      <c r="EQ381" s="18" t="s">
        <v>113</v>
      </c>
      <c r="ER381" s="18" t="s">
        <v>5155</v>
      </c>
      <c r="ES381" s="18" t="s">
        <v>5447</v>
      </c>
      <c r="ET381" s="18" t="s">
        <v>5154</v>
      </c>
      <c r="EU381" s="18" t="s">
        <v>5318</v>
      </c>
      <c r="EV381" s="18" t="s">
        <v>5789</v>
      </c>
      <c r="EW381" s="18" t="s">
        <v>5563</v>
      </c>
      <c r="EX381" s="18" t="s">
        <v>5158</v>
      </c>
      <c r="EY381" s="18" t="s">
        <v>5229</v>
      </c>
      <c r="EZ381" s="18" t="s">
        <v>5160</v>
      </c>
      <c r="FA381" s="18" t="s">
        <v>144</v>
      </c>
      <c r="FB381" s="18" t="s">
        <v>5161</v>
      </c>
    </row>
    <row r="382" spans="1:158" ht="10.5" customHeight="1" x14ac:dyDescent="0.2">
      <c r="A382" s="16">
        <v>41</v>
      </c>
      <c r="B382" s="16" t="s">
        <v>3657</v>
      </c>
      <c r="C382" s="16" t="s">
        <v>1879</v>
      </c>
      <c r="D382" s="16">
        <v>3799</v>
      </c>
      <c r="E382" s="16" t="s">
        <v>6656</v>
      </c>
      <c r="F382" s="18" t="s">
        <v>1879</v>
      </c>
      <c r="G382" s="18" t="s">
        <v>106</v>
      </c>
      <c r="H382" s="15" t="s">
        <v>5127</v>
      </c>
      <c r="I382" s="18">
        <v>7</v>
      </c>
      <c r="J382" s="18">
        <v>4</v>
      </c>
      <c r="K382" s="18">
        <v>3</v>
      </c>
      <c r="L382" s="18">
        <v>0</v>
      </c>
      <c r="M382" s="18" t="s">
        <v>5230</v>
      </c>
      <c r="N382" s="18" t="s">
        <v>6369</v>
      </c>
      <c r="O382" s="18">
        <v>45582</v>
      </c>
      <c r="T382" s="18" t="s">
        <v>111</v>
      </c>
      <c r="U382" s="18" t="s">
        <v>5123</v>
      </c>
      <c r="V382" s="18" t="s">
        <v>113</v>
      </c>
      <c r="W382" s="18" t="s">
        <v>5211</v>
      </c>
      <c r="Y382" s="18" t="s">
        <v>5212</v>
      </c>
      <c r="Z382" s="18" t="s">
        <v>113</v>
      </c>
      <c r="AA382" s="18" t="s">
        <v>5163</v>
      </c>
      <c r="AB382" s="18" t="s">
        <v>179</v>
      </c>
      <c r="AC382" s="18" t="s">
        <v>111</v>
      </c>
      <c r="AD382" s="18" t="s">
        <v>111</v>
      </c>
      <c r="AE382" s="18" t="s">
        <v>111</v>
      </c>
      <c r="AF382" s="18" t="s">
        <v>111</v>
      </c>
      <c r="AG382" s="18" t="s">
        <v>5127</v>
      </c>
      <c r="AH382" s="18" t="s">
        <v>5127</v>
      </c>
      <c r="AI382" s="18">
        <v>0</v>
      </c>
      <c r="AK382" s="18" t="s">
        <v>5164</v>
      </c>
      <c r="AN382" s="18">
        <v>24000</v>
      </c>
      <c r="AO382" s="18" t="s">
        <v>5129</v>
      </c>
      <c r="AP382" s="18" t="s">
        <v>6370</v>
      </c>
      <c r="AQ382" s="18" t="s">
        <v>5442</v>
      </c>
      <c r="AR382" s="18" t="s">
        <v>5168</v>
      </c>
      <c r="AT382" s="17">
        <f>(365*D382*0.7)/1000</f>
        <v>970.64449999999988</v>
      </c>
      <c r="AU382" s="17">
        <f t="shared" si="17"/>
        <v>1001</v>
      </c>
      <c r="AV382" s="18">
        <f>1000/1000</f>
        <v>1</v>
      </c>
      <c r="AW382" s="18">
        <v>1000</v>
      </c>
      <c r="AY382" s="18" t="s">
        <v>6158</v>
      </c>
      <c r="BB382" s="18">
        <v>1000</v>
      </c>
      <c r="BD382" s="18">
        <f>400/1000</f>
        <v>0.4</v>
      </c>
      <c r="BE382" s="18">
        <v>2000</v>
      </c>
      <c r="BG382" s="18" t="s">
        <v>5281</v>
      </c>
      <c r="BQ382" s="18">
        <f>5000/1000</f>
        <v>5</v>
      </c>
      <c r="BR382" s="18">
        <f>5000/1000</f>
        <v>5</v>
      </c>
      <c r="BS382" s="18">
        <f>2000/1000</f>
        <v>2</v>
      </c>
      <c r="BT382" s="18">
        <f>1000/1000</f>
        <v>1</v>
      </c>
      <c r="BU382" s="18">
        <f>500/1000</f>
        <v>0.5</v>
      </c>
      <c r="BV382" s="18">
        <f>SUM(BQ382:BU382)</f>
        <v>13.5</v>
      </c>
      <c r="BW382" s="15">
        <f t="shared" si="18"/>
        <v>13.5</v>
      </c>
      <c r="BY382" s="18" t="s">
        <v>5134</v>
      </c>
      <c r="BZ382" s="18" t="s">
        <v>193</v>
      </c>
      <c r="CD382" s="18" t="s">
        <v>5127</v>
      </c>
      <c r="CE382" s="18" t="s">
        <v>5127</v>
      </c>
      <c r="CF382" s="18" t="s">
        <v>5135</v>
      </c>
      <c r="CG382" s="18" t="s">
        <v>5809</v>
      </c>
      <c r="CH382" s="18" t="s">
        <v>111</v>
      </c>
      <c r="CI382" s="18" t="s">
        <v>111</v>
      </c>
      <c r="CJ382" s="18" t="s">
        <v>5139</v>
      </c>
      <c r="CK382" s="18" t="s">
        <v>179</v>
      </c>
      <c r="CL382" s="18">
        <v>1</v>
      </c>
      <c r="CM382" s="18">
        <v>0</v>
      </c>
      <c r="CN382" s="18">
        <v>0</v>
      </c>
      <c r="CO382" s="18">
        <v>0</v>
      </c>
      <c r="CP382" s="18">
        <v>1</v>
      </c>
      <c r="CQ382" s="18">
        <v>0</v>
      </c>
      <c r="CR382" s="18">
        <v>4</v>
      </c>
      <c r="CS382" s="18" t="s">
        <v>5141</v>
      </c>
      <c r="CT382" s="18">
        <v>0</v>
      </c>
      <c r="CU382" s="18">
        <v>0</v>
      </c>
      <c r="CV382" s="18">
        <v>0</v>
      </c>
      <c r="CX382" s="18">
        <v>1</v>
      </c>
      <c r="CY382" s="18">
        <v>1</v>
      </c>
      <c r="CZ382" s="18">
        <v>1</v>
      </c>
      <c r="DA382" s="18">
        <v>1</v>
      </c>
      <c r="DB382" s="18">
        <v>1</v>
      </c>
      <c r="DC382" s="18">
        <v>0</v>
      </c>
      <c r="DD382" s="18">
        <v>1</v>
      </c>
      <c r="DE382" s="18" t="s">
        <v>5141</v>
      </c>
      <c r="DF382" s="18" t="s">
        <v>5141</v>
      </c>
      <c r="DG382" s="18">
        <v>1</v>
      </c>
      <c r="DH382" s="18">
        <v>1</v>
      </c>
      <c r="DI382" s="18">
        <v>1</v>
      </c>
      <c r="DK382" s="18">
        <v>0</v>
      </c>
      <c r="DL382" s="18">
        <v>0</v>
      </c>
      <c r="DM382" s="18" t="s">
        <v>5127</v>
      </c>
      <c r="DN382" s="18" t="s">
        <v>5258</v>
      </c>
      <c r="DO382" s="18" t="s">
        <v>5143</v>
      </c>
      <c r="DP382" s="18" t="s">
        <v>113</v>
      </c>
      <c r="DQ382" s="18" t="s">
        <v>5727</v>
      </c>
      <c r="DS382" s="18">
        <v>100</v>
      </c>
      <c r="DT382" s="18">
        <v>0</v>
      </c>
      <c r="DU382" s="18">
        <v>1</v>
      </c>
      <c r="DV382" s="18" t="s">
        <v>5272</v>
      </c>
      <c r="DX382" s="18" t="s">
        <v>5222</v>
      </c>
      <c r="DY382" s="18" t="s">
        <v>106</v>
      </c>
      <c r="DZ382" s="18" t="s">
        <v>113</v>
      </c>
      <c r="EA382" s="18" t="s">
        <v>5261</v>
      </c>
      <c r="EB382" s="18">
        <v>24000</v>
      </c>
      <c r="EC382" s="18" t="s">
        <v>113</v>
      </c>
      <c r="ED382" s="18" t="s">
        <v>5176</v>
      </c>
      <c r="EE382" s="18" t="s">
        <v>113</v>
      </c>
      <c r="EF382" s="18" t="s">
        <v>113</v>
      </c>
      <c r="EG382" s="18" t="s">
        <v>5386</v>
      </c>
      <c r="EH382" s="18" t="s">
        <v>5203</v>
      </c>
      <c r="EI382" s="18" t="s">
        <v>5204</v>
      </c>
      <c r="EJ382" s="18" t="s">
        <v>5361</v>
      </c>
      <c r="EK382" s="18" t="s">
        <v>113</v>
      </c>
      <c r="EL382" s="18" t="s">
        <v>5460</v>
      </c>
      <c r="EM382" s="18" t="s">
        <v>5227</v>
      </c>
      <c r="EN382" s="18" t="s">
        <v>113</v>
      </c>
      <c r="EO382" s="18" t="s">
        <v>113</v>
      </c>
      <c r="EP382" s="18" t="s">
        <v>113</v>
      </c>
      <c r="EQ382" s="18" t="s">
        <v>113</v>
      </c>
      <c r="ER382" s="18" t="s">
        <v>5155</v>
      </c>
      <c r="ES382" s="18" t="s">
        <v>6371</v>
      </c>
      <c r="ET382" s="18" t="s">
        <v>5154</v>
      </c>
      <c r="EU382" s="18" t="s">
        <v>5155</v>
      </c>
      <c r="EV382" s="18" t="s">
        <v>5379</v>
      </c>
      <c r="EW382" s="18" t="s">
        <v>6372</v>
      </c>
      <c r="EX382" s="18" t="s">
        <v>5158</v>
      </c>
      <c r="EY382" s="18" t="s">
        <v>5229</v>
      </c>
      <c r="EZ382" s="18" t="s">
        <v>5160</v>
      </c>
      <c r="FA382" s="18" t="s">
        <v>144</v>
      </c>
      <c r="FB382" s="18" t="s">
        <v>5161</v>
      </c>
    </row>
    <row r="383" spans="1:158" ht="10.5" customHeight="1" x14ac:dyDescent="0.2">
      <c r="A383" s="16">
        <v>41</v>
      </c>
      <c r="B383" s="16" t="s">
        <v>1847</v>
      </c>
      <c r="C383" s="16" t="s">
        <v>1848</v>
      </c>
      <c r="D383" s="16">
        <v>5833</v>
      </c>
      <c r="E383" s="16" t="s">
        <v>6656</v>
      </c>
      <c r="H383" s="15" t="s">
        <v>6661</v>
      </c>
      <c r="AT383" s="17">
        <f>(365*D383*0.7)/1000</f>
        <v>1490.3315</v>
      </c>
      <c r="AU383" s="17">
        <f t="shared" si="17"/>
        <v>0</v>
      </c>
      <c r="BW383" s="15">
        <f t="shared" si="18"/>
        <v>0</v>
      </c>
    </row>
    <row r="384" spans="1:158" ht="10.5" customHeight="1" x14ac:dyDescent="0.2">
      <c r="A384" s="16">
        <v>41</v>
      </c>
      <c r="B384" s="16" t="s">
        <v>3671</v>
      </c>
      <c r="C384" s="16" t="s">
        <v>3670</v>
      </c>
      <c r="D384" s="16">
        <v>4336</v>
      </c>
      <c r="E384" s="16" t="s">
        <v>6656</v>
      </c>
      <c r="F384" s="18" t="s">
        <v>3670</v>
      </c>
      <c r="G384" s="18" t="s">
        <v>106</v>
      </c>
      <c r="H384" s="15" t="s">
        <v>5127</v>
      </c>
      <c r="I384" s="18">
        <v>4</v>
      </c>
      <c r="J384" s="18">
        <v>2</v>
      </c>
      <c r="K384" s="18">
        <v>2</v>
      </c>
      <c r="L384" s="18">
        <v>0</v>
      </c>
      <c r="M384" s="18" t="s">
        <v>5183</v>
      </c>
      <c r="N384" s="18" t="s">
        <v>6373</v>
      </c>
      <c r="T384" s="18" t="s">
        <v>111</v>
      </c>
      <c r="U384" s="18" t="s">
        <v>5250</v>
      </c>
      <c r="V384" s="18" t="s">
        <v>113</v>
      </c>
      <c r="W384" s="18" t="s">
        <v>5124</v>
      </c>
      <c r="Y384" s="18" t="s">
        <v>5232</v>
      </c>
      <c r="Z384" s="18" t="s">
        <v>106</v>
      </c>
      <c r="AA384" s="18" t="s">
        <v>5267</v>
      </c>
      <c r="AC384" s="18" t="s">
        <v>5127</v>
      </c>
      <c r="AD384" s="18" t="s">
        <v>111</v>
      </c>
      <c r="AE384" s="18" t="s">
        <v>111</v>
      </c>
      <c r="AF384" s="18" t="s">
        <v>111</v>
      </c>
      <c r="AG384" s="18" t="s">
        <v>5127</v>
      </c>
      <c r="AH384" s="18" t="s">
        <v>111</v>
      </c>
      <c r="AI384" s="18">
        <v>1</v>
      </c>
      <c r="AK384" s="18" t="s">
        <v>5164</v>
      </c>
      <c r="AN384" s="18">
        <v>0</v>
      </c>
      <c r="AO384" s="18" t="s">
        <v>5186</v>
      </c>
      <c r="AP384" s="18" t="s">
        <v>6374</v>
      </c>
      <c r="AQ384" s="18" t="s">
        <v>5236</v>
      </c>
      <c r="AR384" s="18" t="s">
        <v>5168</v>
      </c>
      <c r="AT384" s="17">
        <f>(365*D384*0.7)/1000</f>
        <v>1107.848</v>
      </c>
      <c r="AU384" s="17">
        <f t="shared" si="17"/>
        <v>17</v>
      </c>
      <c r="AV384" s="18">
        <v>17</v>
      </c>
      <c r="AW384" s="18">
        <v>0</v>
      </c>
      <c r="AY384" s="18" t="s">
        <v>164</v>
      </c>
      <c r="BG384" s="18" t="s">
        <v>5281</v>
      </c>
      <c r="BQ384" s="18">
        <v>40</v>
      </c>
      <c r="BR384" s="18">
        <v>30</v>
      </c>
      <c r="BS384" s="18">
        <v>14</v>
      </c>
      <c r="BT384" s="18">
        <v>41</v>
      </c>
      <c r="BU384" s="18">
        <v>0</v>
      </c>
      <c r="BV384" s="18">
        <v>125</v>
      </c>
      <c r="BW384" s="15">
        <f t="shared" si="18"/>
        <v>125</v>
      </c>
      <c r="BY384" s="18" t="s">
        <v>5134</v>
      </c>
      <c r="BZ384" s="18" t="s">
        <v>193</v>
      </c>
      <c r="CD384" s="18" t="s">
        <v>5127</v>
      </c>
      <c r="CE384" s="18" t="s">
        <v>111</v>
      </c>
      <c r="CF384" s="18" t="s">
        <v>5135</v>
      </c>
      <c r="CG384" s="18" t="s">
        <v>5679</v>
      </c>
      <c r="CH384" s="18" t="s">
        <v>5137</v>
      </c>
      <c r="CI384" s="18" t="s">
        <v>111</v>
      </c>
      <c r="CJ384" s="18" t="s">
        <v>5196</v>
      </c>
      <c r="CK384" s="18" t="s">
        <v>5197</v>
      </c>
      <c r="CL384" s="18">
        <v>1</v>
      </c>
      <c r="CM384" s="18">
        <v>0</v>
      </c>
      <c r="CN384" s="18">
        <v>0</v>
      </c>
      <c r="CO384" s="18">
        <v>1</v>
      </c>
      <c r="CP384" s="18">
        <v>2</v>
      </c>
      <c r="CQ384" s="18">
        <v>0</v>
      </c>
      <c r="CR384" s="18">
        <v>0</v>
      </c>
      <c r="CS384" s="18" t="s">
        <v>5141</v>
      </c>
      <c r="CT384" s="18">
        <v>1</v>
      </c>
      <c r="CU384" s="18">
        <v>0</v>
      </c>
      <c r="CV384" s="18">
        <v>0</v>
      </c>
      <c r="CX384" s="18">
        <v>0</v>
      </c>
      <c r="CY384" s="18">
        <v>0</v>
      </c>
      <c r="CZ384" s="18">
        <v>1</v>
      </c>
      <c r="DA384" s="18">
        <v>0</v>
      </c>
      <c r="DB384" s="18">
        <v>0</v>
      </c>
      <c r="DC384" s="18">
        <v>0</v>
      </c>
      <c r="DD384" s="18">
        <v>1</v>
      </c>
      <c r="DE384" s="18">
        <v>0</v>
      </c>
      <c r="DF384" s="18" t="s">
        <v>5141</v>
      </c>
      <c r="DG384" s="18">
        <v>0</v>
      </c>
      <c r="DH384" s="18" t="s">
        <v>5735</v>
      </c>
      <c r="DI384" s="18" t="s">
        <v>5141</v>
      </c>
      <c r="DK384" s="18">
        <v>0</v>
      </c>
      <c r="DL384" s="18">
        <v>0</v>
      </c>
      <c r="DM384" s="18" t="s">
        <v>5127</v>
      </c>
      <c r="DN384" s="18" t="s">
        <v>5172</v>
      </c>
      <c r="DO384" s="18" t="s">
        <v>5242</v>
      </c>
      <c r="DP384" s="18" t="s">
        <v>113</v>
      </c>
      <c r="DQ384" s="18" t="s">
        <v>5168</v>
      </c>
      <c r="DS384" s="18">
        <v>432</v>
      </c>
      <c r="DT384" s="18">
        <v>1</v>
      </c>
      <c r="DU384" s="18">
        <v>1</v>
      </c>
      <c r="DV384" s="18" t="s">
        <v>5444</v>
      </c>
      <c r="DX384" s="18" t="s">
        <v>5222</v>
      </c>
      <c r="DY384" s="18" t="s">
        <v>106</v>
      </c>
      <c r="DZ384" s="18" t="s">
        <v>113</v>
      </c>
      <c r="EA384" s="18" t="s">
        <v>5261</v>
      </c>
      <c r="EB384" s="18">
        <v>0</v>
      </c>
      <c r="EC384" s="18" t="s">
        <v>106</v>
      </c>
      <c r="ED384" s="18" t="s">
        <v>5176</v>
      </c>
      <c r="EE384" s="18" t="s">
        <v>113</v>
      </c>
      <c r="EF384" s="18" t="s">
        <v>113</v>
      </c>
      <c r="EG384" s="18" t="s">
        <v>5404</v>
      </c>
      <c r="EH384" s="18" t="s">
        <v>5203</v>
      </c>
      <c r="EI384" s="18" t="s">
        <v>5204</v>
      </c>
      <c r="EJ384" s="18" t="s">
        <v>5287</v>
      </c>
      <c r="EK384" s="18" t="s">
        <v>113</v>
      </c>
      <c r="EL384" s="18" t="s">
        <v>6375</v>
      </c>
      <c r="EM384" s="18" t="s">
        <v>6376</v>
      </c>
      <c r="EN384" s="18" t="s">
        <v>113</v>
      </c>
      <c r="EO384" s="18" t="s">
        <v>113</v>
      </c>
      <c r="EP384" s="18" t="s">
        <v>113</v>
      </c>
      <c r="EQ384" s="18" t="s">
        <v>113</v>
      </c>
      <c r="ER384" s="18" t="s">
        <v>5155</v>
      </c>
      <c r="ES384" s="18" t="s">
        <v>5773</v>
      </c>
      <c r="ET384" s="18" t="s">
        <v>5154</v>
      </c>
      <c r="EU384" s="18" t="s">
        <v>5155</v>
      </c>
      <c r="EV384" s="18" t="s">
        <v>5489</v>
      </c>
      <c r="EW384" s="18" t="s">
        <v>5614</v>
      </c>
      <c r="EX384" s="18" t="s">
        <v>5158</v>
      </c>
      <c r="EY384" s="18" t="s">
        <v>5292</v>
      </c>
      <c r="EZ384" s="18" t="s">
        <v>5182</v>
      </c>
      <c r="FA384" s="18" t="s">
        <v>144</v>
      </c>
      <c r="FB384" s="18" t="s">
        <v>5161</v>
      </c>
    </row>
    <row r="385" spans="1:158" ht="10.5" customHeight="1" x14ac:dyDescent="0.2">
      <c r="A385" s="16">
        <v>41</v>
      </c>
      <c r="B385" s="16" t="s">
        <v>3684</v>
      </c>
      <c r="C385" s="16" t="s">
        <v>3683</v>
      </c>
      <c r="D385" s="16">
        <v>10121</v>
      </c>
      <c r="E385" s="16" t="s">
        <v>6656</v>
      </c>
      <c r="F385" s="18" t="s">
        <v>3683</v>
      </c>
      <c r="G385" s="18" t="s">
        <v>106</v>
      </c>
      <c r="H385" s="15" t="s">
        <v>5127</v>
      </c>
      <c r="I385" s="18">
        <v>7</v>
      </c>
      <c r="J385" s="18">
        <v>5</v>
      </c>
      <c r="K385" s="18">
        <v>2</v>
      </c>
      <c r="L385" s="18">
        <v>0</v>
      </c>
      <c r="M385" s="18" t="s">
        <v>5183</v>
      </c>
      <c r="N385" s="18">
        <v>206937</v>
      </c>
      <c r="O385" s="18">
        <v>45938</v>
      </c>
      <c r="T385" s="18" t="s">
        <v>111</v>
      </c>
      <c r="U385" s="18" t="s">
        <v>5123</v>
      </c>
      <c r="V385" s="18" t="s">
        <v>113</v>
      </c>
      <c r="W385" s="18" t="s">
        <v>5211</v>
      </c>
      <c r="Y385" s="18" t="s">
        <v>5232</v>
      </c>
      <c r="Z385" s="18" t="s">
        <v>113</v>
      </c>
      <c r="AA385" s="18" t="s">
        <v>5163</v>
      </c>
      <c r="AB385" s="18" t="s">
        <v>179</v>
      </c>
      <c r="AC385" s="18" t="s">
        <v>111</v>
      </c>
      <c r="AD385" s="18" t="s">
        <v>111</v>
      </c>
      <c r="AE385" s="18" t="s">
        <v>111</v>
      </c>
      <c r="AF385" s="18" t="s">
        <v>111</v>
      </c>
      <c r="AG385" s="18" t="s">
        <v>111</v>
      </c>
      <c r="AH385" s="18" t="s">
        <v>111</v>
      </c>
      <c r="AI385" s="18">
        <v>0</v>
      </c>
      <c r="AK385" s="18" t="s">
        <v>5164</v>
      </c>
      <c r="AN385" s="18">
        <v>281.61</v>
      </c>
      <c r="AO385" s="18" t="s">
        <v>5129</v>
      </c>
      <c r="AP385" s="18" t="s">
        <v>6377</v>
      </c>
      <c r="AQ385" s="18" t="s">
        <v>5252</v>
      </c>
      <c r="AR385" s="18" t="s">
        <v>5168</v>
      </c>
      <c r="AT385" s="17">
        <f>(365*D385*0.7)/1000</f>
        <v>2585.9155000000001</v>
      </c>
      <c r="AU385" s="17">
        <f t="shared" si="17"/>
        <v>0</v>
      </c>
      <c r="AV385" s="18">
        <v>0</v>
      </c>
      <c r="AW385" s="18">
        <v>0</v>
      </c>
      <c r="AY385" s="18" t="s">
        <v>164</v>
      </c>
      <c r="AZ385" s="18">
        <v>0</v>
      </c>
      <c r="BA385" s="18">
        <v>0</v>
      </c>
      <c r="BB385" s="18">
        <v>0</v>
      </c>
      <c r="BD385" s="18">
        <v>0</v>
      </c>
      <c r="BG385" s="18" t="s">
        <v>164</v>
      </c>
      <c r="BQ385" s="18">
        <v>168.96</v>
      </c>
      <c r="BR385" s="18">
        <v>93.25</v>
      </c>
      <c r="BS385" s="18">
        <v>10.77</v>
      </c>
      <c r="BT385" s="18">
        <v>8.6300000000000008</v>
      </c>
      <c r="BV385" s="18">
        <v>281.61</v>
      </c>
      <c r="BW385" s="15">
        <f t="shared" si="18"/>
        <v>281.61</v>
      </c>
      <c r="BY385" s="18" t="s">
        <v>5134</v>
      </c>
      <c r="BZ385" s="18" t="s">
        <v>5240</v>
      </c>
      <c r="CD385" s="18" t="s">
        <v>5127</v>
      </c>
      <c r="CE385" s="18" t="s">
        <v>5127</v>
      </c>
      <c r="CF385" s="18" t="s">
        <v>5135</v>
      </c>
      <c r="CG385" s="18" t="s">
        <v>6180</v>
      </c>
      <c r="CH385" s="18" t="s">
        <v>111</v>
      </c>
      <c r="CI385" s="18" t="s">
        <v>111</v>
      </c>
      <c r="CJ385" s="18" t="s">
        <v>5139</v>
      </c>
      <c r="CK385" s="18" t="s">
        <v>5197</v>
      </c>
      <c r="CL385" s="18">
        <v>1</v>
      </c>
      <c r="CM385" s="18">
        <v>0</v>
      </c>
      <c r="CN385" s="18">
        <v>0</v>
      </c>
      <c r="CO385" s="18">
        <v>0</v>
      </c>
      <c r="CP385" s="18">
        <v>1</v>
      </c>
      <c r="CQ385" s="18">
        <v>0</v>
      </c>
      <c r="CR385" s="18">
        <v>0</v>
      </c>
      <c r="CS385" s="18">
        <v>0</v>
      </c>
      <c r="CT385" s="18">
        <v>0</v>
      </c>
      <c r="CU385" s="18">
        <v>0</v>
      </c>
      <c r="CV385" s="18">
        <v>0</v>
      </c>
      <c r="CX385" s="18">
        <v>1</v>
      </c>
      <c r="CY385" s="18">
        <v>1</v>
      </c>
      <c r="CZ385" s="18">
        <v>1</v>
      </c>
      <c r="DA385" s="18">
        <v>1</v>
      </c>
      <c r="DB385" s="18">
        <v>1</v>
      </c>
      <c r="DC385" s="18">
        <v>1</v>
      </c>
      <c r="DD385" s="18">
        <v>1</v>
      </c>
      <c r="DE385" s="18">
        <v>0</v>
      </c>
      <c r="DF385" s="18">
        <v>0</v>
      </c>
      <c r="DG385" s="18">
        <v>0</v>
      </c>
      <c r="DH385" s="18">
        <v>0</v>
      </c>
      <c r="DI385" s="18">
        <v>1</v>
      </c>
      <c r="DK385" s="18">
        <v>0</v>
      </c>
      <c r="DL385" s="18">
        <v>1</v>
      </c>
      <c r="DM385" s="18" t="s">
        <v>5127</v>
      </c>
      <c r="DN385" s="18" t="s">
        <v>5172</v>
      </c>
      <c r="DO385" s="18" t="s">
        <v>5259</v>
      </c>
      <c r="DP385" s="18" t="s">
        <v>113</v>
      </c>
      <c r="DQ385" s="18" t="s">
        <v>5168</v>
      </c>
      <c r="DS385" s="18">
        <v>0</v>
      </c>
      <c r="DT385" s="18">
        <v>0</v>
      </c>
      <c r="DU385" s="18">
        <v>0</v>
      </c>
      <c r="DV385" s="18" t="s">
        <v>5144</v>
      </c>
      <c r="DX385" s="18" t="s">
        <v>5222</v>
      </c>
      <c r="DY385" s="18" t="s">
        <v>106</v>
      </c>
      <c r="DZ385" s="18" t="s">
        <v>113</v>
      </c>
      <c r="EA385" s="18" t="s">
        <v>5285</v>
      </c>
      <c r="EB385" s="18">
        <v>39200</v>
      </c>
      <c r="EC385" s="18" t="s">
        <v>106</v>
      </c>
      <c r="ED385" s="18" t="s">
        <v>5176</v>
      </c>
      <c r="EE385" s="18" t="s">
        <v>106</v>
      </c>
      <c r="EF385" s="18" t="s">
        <v>113</v>
      </c>
      <c r="EG385" s="18" t="s">
        <v>5326</v>
      </c>
      <c r="EH385" s="18" t="s">
        <v>5203</v>
      </c>
      <c r="EI385" s="18" t="s">
        <v>5204</v>
      </c>
      <c r="EJ385" s="18" t="s">
        <v>6378</v>
      </c>
      <c r="EK385" s="18" t="s">
        <v>113</v>
      </c>
      <c r="EN385" s="18" t="s">
        <v>113</v>
      </c>
      <c r="EO385" s="18" t="s">
        <v>113</v>
      </c>
      <c r="EP385" s="18" t="s">
        <v>113</v>
      </c>
      <c r="EQ385" s="18" t="s">
        <v>113</v>
      </c>
      <c r="ER385" s="18" t="s">
        <v>5152</v>
      </c>
      <c r="ET385" s="18" t="s">
        <v>5154</v>
      </c>
      <c r="EU385" s="18" t="s">
        <v>5289</v>
      </c>
      <c r="EV385" s="18" t="s">
        <v>6379</v>
      </c>
      <c r="EW385" s="18" t="s">
        <v>6380</v>
      </c>
      <c r="EX385" s="18" t="s">
        <v>5158</v>
      </c>
      <c r="EY385" s="18" t="s">
        <v>164</v>
      </c>
      <c r="EZ385" s="18" t="s">
        <v>5389</v>
      </c>
      <c r="FA385" s="18" t="s">
        <v>144</v>
      </c>
      <c r="FB385" s="18" t="s">
        <v>5161</v>
      </c>
    </row>
    <row r="386" spans="1:158" ht="10.5" customHeight="1" x14ac:dyDescent="0.2">
      <c r="A386" s="16">
        <v>41</v>
      </c>
      <c r="B386" s="16" t="s">
        <v>3701</v>
      </c>
      <c r="C386" s="16" t="s">
        <v>3700</v>
      </c>
      <c r="D386" s="16">
        <v>50428</v>
      </c>
      <c r="E386" s="16" t="s">
        <v>6658</v>
      </c>
      <c r="F386" s="18" t="s">
        <v>3700</v>
      </c>
      <c r="G386" s="18" t="s">
        <v>106</v>
      </c>
      <c r="H386" s="15" t="s">
        <v>5127</v>
      </c>
      <c r="I386" s="18">
        <v>13</v>
      </c>
      <c r="J386" s="18">
        <v>9</v>
      </c>
      <c r="K386" s="18">
        <v>4</v>
      </c>
      <c r="L386" s="18">
        <v>0</v>
      </c>
      <c r="M386" s="18" t="s">
        <v>5183</v>
      </c>
      <c r="N386" s="18" t="s">
        <v>6381</v>
      </c>
      <c r="O386" s="18">
        <v>47133</v>
      </c>
      <c r="T386" s="18" t="s">
        <v>5382</v>
      </c>
      <c r="U386" s="18" t="s">
        <v>5250</v>
      </c>
      <c r="V386" s="18" t="s">
        <v>113</v>
      </c>
      <c r="W386" s="18" t="s">
        <v>5124</v>
      </c>
      <c r="Y386" s="18" t="s">
        <v>5232</v>
      </c>
      <c r="Z386" s="18" t="s">
        <v>106</v>
      </c>
      <c r="AA386" s="18" t="s">
        <v>5163</v>
      </c>
      <c r="AB386" s="18" t="s">
        <v>179</v>
      </c>
      <c r="AC386" s="18" t="s">
        <v>5127</v>
      </c>
      <c r="AD386" s="18" t="s">
        <v>5127</v>
      </c>
      <c r="AE386" s="18" t="s">
        <v>5127</v>
      </c>
      <c r="AF386" s="18" t="s">
        <v>5127</v>
      </c>
      <c r="AG386" s="18" t="s">
        <v>5127</v>
      </c>
      <c r="AH386" s="18" t="s">
        <v>111</v>
      </c>
      <c r="AI386" s="18">
        <v>1</v>
      </c>
      <c r="AK386" s="18" t="s">
        <v>5164</v>
      </c>
      <c r="AN386" s="18">
        <v>875741</v>
      </c>
      <c r="AO386" s="18" t="s">
        <v>5186</v>
      </c>
      <c r="AP386" s="18" t="s">
        <v>6382</v>
      </c>
      <c r="AQ386" s="18" t="s">
        <v>5393</v>
      </c>
      <c r="AR386" s="18" t="s">
        <v>5132</v>
      </c>
      <c r="AT386" s="17">
        <f>(365*D386*0.7)/1000</f>
        <v>12884.353999999999</v>
      </c>
      <c r="AU386" s="17">
        <f t="shared" si="17"/>
        <v>6.7919999999999998</v>
      </c>
      <c r="AV386" s="18">
        <f>6792/1000</f>
        <v>6.7919999999999998</v>
      </c>
      <c r="AW386" s="18">
        <v>0</v>
      </c>
      <c r="AY386" s="18" t="s">
        <v>164</v>
      </c>
      <c r="BG386" s="18" t="s">
        <v>6383</v>
      </c>
      <c r="BQ386" s="18">
        <f>149280/1000</f>
        <v>149.28</v>
      </c>
      <c r="BR386" s="18">
        <f>85368/1000</f>
        <v>85.367999999999995</v>
      </c>
      <c r="BS386" s="18">
        <f>192</f>
        <v>192</v>
      </c>
      <c r="BT386" s="18">
        <f>108168/1000</f>
        <v>108.16800000000001</v>
      </c>
      <c r="BU386" s="18">
        <v>0</v>
      </c>
      <c r="BV386" s="18">
        <f>SUM(BQ386:BU386)</f>
        <v>534.81600000000003</v>
      </c>
      <c r="BW386" s="15">
        <f t="shared" si="18"/>
        <v>534.81600000000003</v>
      </c>
      <c r="BY386" s="18" t="s">
        <v>5134</v>
      </c>
      <c r="BZ386" s="18" t="s">
        <v>193</v>
      </c>
      <c r="CD386" s="18" t="s">
        <v>5127</v>
      </c>
      <c r="CE386" s="18" t="s">
        <v>5127</v>
      </c>
      <c r="CF386" s="18" t="s">
        <v>5282</v>
      </c>
      <c r="CG386" s="18" t="s">
        <v>6384</v>
      </c>
      <c r="CH386" s="18" t="s">
        <v>5241</v>
      </c>
      <c r="CI386" s="18" t="s">
        <v>5195</v>
      </c>
      <c r="CJ386" s="18" t="s">
        <v>5196</v>
      </c>
      <c r="CK386" s="18" t="s">
        <v>179</v>
      </c>
      <c r="CL386" s="18">
        <v>2</v>
      </c>
      <c r="CM386" s="18">
        <v>0</v>
      </c>
      <c r="CN386" s="18">
        <v>0</v>
      </c>
      <c r="CO386" s="18">
        <v>1</v>
      </c>
      <c r="CP386" s="18">
        <v>0</v>
      </c>
      <c r="CQ386" s="18">
        <v>1</v>
      </c>
      <c r="CR386" s="18">
        <v>0</v>
      </c>
      <c r="CS386" s="18" t="s">
        <v>5141</v>
      </c>
      <c r="CT386" s="18">
        <v>0</v>
      </c>
      <c r="CU386" s="18">
        <v>1</v>
      </c>
      <c r="CV386" s="18">
        <v>1</v>
      </c>
      <c r="CX386" s="18">
        <v>0</v>
      </c>
      <c r="CY386" s="18">
        <v>0</v>
      </c>
      <c r="CZ386" s="18">
        <v>1</v>
      </c>
      <c r="DA386" s="18">
        <v>1</v>
      </c>
      <c r="DB386" s="18">
        <v>0</v>
      </c>
      <c r="DC386" s="18">
        <v>1</v>
      </c>
      <c r="DD386" s="18">
        <v>0</v>
      </c>
      <c r="DE386" s="18">
        <v>1</v>
      </c>
      <c r="DF386" s="18">
        <v>0</v>
      </c>
      <c r="DG386" s="18">
        <v>1</v>
      </c>
      <c r="DH386" s="18">
        <v>0</v>
      </c>
      <c r="DI386" s="18">
        <v>0</v>
      </c>
      <c r="DK386" s="18">
        <v>0</v>
      </c>
      <c r="DL386" s="18">
        <v>1</v>
      </c>
      <c r="DM386" s="18" t="s">
        <v>5127</v>
      </c>
      <c r="DN386" s="18" t="s">
        <v>5314</v>
      </c>
      <c r="DO386" s="18" t="s">
        <v>5143</v>
      </c>
      <c r="DP386" s="18" t="s">
        <v>113</v>
      </c>
      <c r="DS386" s="18">
        <v>0</v>
      </c>
      <c r="DT386" s="18">
        <v>1</v>
      </c>
      <c r="DU386" s="18">
        <v>0</v>
      </c>
      <c r="DV386" s="18" t="s">
        <v>5403</v>
      </c>
      <c r="DX386" s="18" t="s">
        <v>5222</v>
      </c>
      <c r="DY386" s="18" t="s">
        <v>106</v>
      </c>
      <c r="DZ386" s="18" t="s">
        <v>113</v>
      </c>
      <c r="EA386" s="18" t="s">
        <v>5146</v>
      </c>
      <c r="EB386" s="18">
        <v>259154</v>
      </c>
      <c r="EC386" s="18" t="s">
        <v>113</v>
      </c>
      <c r="ED386" s="18" t="s">
        <v>5147</v>
      </c>
      <c r="EE386" s="18" t="s">
        <v>106</v>
      </c>
      <c r="EF386" s="18" t="s">
        <v>113</v>
      </c>
      <c r="EG386" s="18" t="s">
        <v>5404</v>
      </c>
      <c r="EH386" s="18" t="s">
        <v>5203</v>
      </c>
      <c r="EI386" s="18" t="s">
        <v>5204</v>
      </c>
      <c r="EJ386" s="18" t="s">
        <v>5343</v>
      </c>
      <c r="EK386" s="18" t="s">
        <v>5878</v>
      </c>
      <c r="EL386" s="18" t="s">
        <v>6385</v>
      </c>
      <c r="EM386" s="18" t="s">
        <v>6386</v>
      </c>
      <c r="EN386" s="18" t="s">
        <v>113</v>
      </c>
      <c r="EO386" s="18" t="s">
        <v>113</v>
      </c>
      <c r="EP386" s="18" t="s">
        <v>113</v>
      </c>
      <c r="EQ386" s="18" t="s">
        <v>113</v>
      </c>
      <c r="ER386" s="18" t="s">
        <v>5206</v>
      </c>
      <c r="ES386" s="18" t="s">
        <v>5153</v>
      </c>
      <c r="ET386" s="18" t="s">
        <v>5154</v>
      </c>
      <c r="EU386" s="18" t="s">
        <v>5318</v>
      </c>
      <c r="EV386" s="18" t="s">
        <v>6387</v>
      </c>
      <c r="EW386" s="18" t="s">
        <v>6388</v>
      </c>
      <c r="EX386" s="18" t="s">
        <v>5158</v>
      </c>
      <c r="EY386" s="18" t="s">
        <v>5248</v>
      </c>
      <c r="EZ386" s="18" t="s">
        <v>5160</v>
      </c>
      <c r="FA386" s="18" t="s">
        <v>144</v>
      </c>
      <c r="FB386" s="18" t="s">
        <v>5161</v>
      </c>
    </row>
    <row r="387" spans="1:158" ht="10.5" customHeight="1" x14ac:dyDescent="0.2">
      <c r="A387" s="16">
        <v>41</v>
      </c>
      <c r="B387" s="16" t="s">
        <v>3712</v>
      </c>
      <c r="C387" s="16" t="s">
        <v>3711</v>
      </c>
      <c r="D387" s="16">
        <v>4170</v>
      </c>
      <c r="E387" s="16" t="s">
        <v>6656</v>
      </c>
      <c r="F387" s="18" t="s">
        <v>3711</v>
      </c>
      <c r="G387" s="18" t="s">
        <v>113</v>
      </c>
      <c r="H387" s="15" t="s">
        <v>111</v>
      </c>
      <c r="AT387" s="17">
        <f>(365*D387*0.7)/1000</f>
        <v>1065.4349999999999</v>
      </c>
      <c r="AU387" s="17">
        <f t="shared" ref="AU387:AU450" si="22">SUM(AV387:AX387)</f>
        <v>0</v>
      </c>
      <c r="BW387" s="15">
        <f t="shared" si="18"/>
        <v>0</v>
      </c>
    </row>
    <row r="388" spans="1:158" ht="10.5" customHeight="1" x14ac:dyDescent="0.2">
      <c r="A388" s="16">
        <v>41</v>
      </c>
      <c r="B388" s="16" t="s">
        <v>2502</v>
      </c>
      <c r="C388" s="16" t="s">
        <v>2441</v>
      </c>
      <c r="D388" s="16">
        <v>8357</v>
      </c>
      <c r="E388" s="16" t="s">
        <v>6656</v>
      </c>
      <c r="H388" s="15" t="s">
        <v>6661</v>
      </c>
      <c r="AT388" s="17">
        <f>(365*D388*0.7)/1000</f>
        <v>2135.2134999999998</v>
      </c>
      <c r="AU388" s="17">
        <f t="shared" si="22"/>
        <v>0</v>
      </c>
      <c r="BW388" s="15">
        <f t="shared" ref="BW388:BW451" si="23">SUM(BQ388:BU388)</f>
        <v>0</v>
      </c>
    </row>
    <row r="389" spans="1:158" ht="10.5" customHeight="1" x14ac:dyDescent="0.2">
      <c r="A389" s="16">
        <v>41</v>
      </c>
      <c r="B389" s="16" t="s">
        <v>3725</v>
      </c>
      <c r="C389" s="16" t="s">
        <v>3724</v>
      </c>
      <c r="D389" s="16">
        <v>25109</v>
      </c>
      <c r="E389" s="16" t="s">
        <v>6658</v>
      </c>
      <c r="F389" s="18" t="s">
        <v>3724</v>
      </c>
      <c r="G389" s="18" t="s">
        <v>106</v>
      </c>
      <c r="H389" s="15" t="s">
        <v>5127</v>
      </c>
      <c r="I389" s="18">
        <v>11</v>
      </c>
      <c r="J389" s="18">
        <v>6</v>
      </c>
      <c r="K389" s="18">
        <v>5</v>
      </c>
      <c r="M389" s="18" t="s">
        <v>5183</v>
      </c>
      <c r="N389" s="18" t="s">
        <v>6389</v>
      </c>
      <c r="O389" s="18">
        <v>47461</v>
      </c>
      <c r="T389" s="18" t="s">
        <v>5546</v>
      </c>
      <c r="U389" s="18" t="s">
        <v>5185</v>
      </c>
      <c r="V389" s="18" t="s">
        <v>106</v>
      </c>
      <c r="W389" s="18" t="s">
        <v>5211</v>
      </c>
      <c r="Y389" s="18" t="s">
        <v>5574</v>
      </c>
      <c r="Z389" s="18" t="s">
        <v>106</v>
      </c>
      <c r="AA389" s="18" t="s">
        <v>5163</v>
      </c>
      <c r="AB389" s="18" t="s">
        <v>179</v>
      </c>
      <c r="AC389" s="18" t="s">
        <v>5127</v>
      </c>
      <c r="AD389" s="18" t="s">
        <v>111</v>
      </c>
      <c r="AE389" s="18" t="s">
        <v>5127</v>
      </c>
      <c r="AF389" s="18" t="s">
        <v>5127</v>
      </c>
      <c r="AG389" s="18" t="s">
        <v>5127</v>
      </c>
      <c r="AH389" s="18" t="s">
        <v>5127</v>
      </c>
      <c r="AI389" s="18">
        <v>0</v>
      </c>
      <c r="AK389" s="18" t="s">
        <v>5164</v>
      </c>
      <c r="AN389" s="18">
        <v>1134</v>
      </c>
      <c r="AO389" s="18" t="s">
        <v>5129</v>
      </c>
      <c r="AP389" s="18" t="s">
        <v>6390</v>
      </c>
      <c r="AQ389" s="18" t="s">
        <v>164</v>
      </c>
      <c r="AR389" s="18" t="s">
        <v>5168</v>
      </c>
      <c r="AT389" s="17">
        <f>(365*D389*0.7)/1000</f>
        <v>6415.3495000000003</v>
      </c>
      <c r="AU389" s="17">
        <f t="shared" si="22"/>
        <v>340</v>
      </c>
      <c r="AV389" s="18">
        <v>340</v>
      </c>
      <c r="AW389" s="18">
        <v>0</v>
      </c>
      <c r="AY389" s="18" t="s">
        <v>164</v>
      </c>
      <c r="BG389" s="18" t="s">
        <v>5281</v>
      </c>
      <c r="BH389" s="18">
        <f>3000/1000</f>
        <v>3</v>
      </c>
      <c r="BI389" s="18">
        <f>2500/1000</f>
        <v>2.5</v>
      </c>
      <c r="BJ389" s="18">
        <f>800/1000</f>
        <v>0.8</v>
      </c>
      <c r="BQ389" s="18">
        <v>278</v>
      </c>
      <c r="BR389" s="18">
        <v>278</v>
      </c>
      <c r="BS389" s="18">
        <v>79</v>
      </c>
      <c r="BT389" s="18">
        <v>159</v>
      </c>
      <c r="BU389" s="18">
        <v>0</v>
      </c>
      <c r="BV389" s="18">
        <v>794</v>
      </c>
      <c r="BW389" s="15">
        <f t="shared" si="23"/>
        <v>794</v>
      </c>
      <c r="BY389" s="18" t="s">
        <v>5134</v>
      </c>
      <c r="BZ389" s="18" t="s">
        <v>5312</v>
      </c>
      <c r="CD389" s="18" t="s">
        <v>5127</v>
      </c>
      <c r="CE389" s="18" t="s">
        <v>5127</v>
      </c>
      <c r="CF389" s="18" t="s">
        <v>5135</v>
      </c>
      <c r="CG389" s="18" t="s">
        <v>6391</v>
      </c>
      <c r="CH389" s="18" t="s">
        <v>5241</v>
      </c>
      <c r="CI389" s="18" t="s">
        <v>5138</v>
      </c>
      <c r="CJ389" s="18" t="s">
        <v>5139</v>
      </c>
      <c r="CK389" s="18" t="s">
        <v>6075</v>
      </c>
      <c r="CL389" s="18">
        <v>1</v>
      </c>
      <c r="CM389" s="18">
        <v>1</v>
      </c>
      <c r="CN389" s="18">
        <v>0</v>
      </c>
      <c r="CO389" s="18">
        <v>1</v>
      </c>
      <c r="CP389" s="18">
        <v>1</v>
      </c>
      <c r="CQ389" s="18">
        <v>1</v>
      </c>
      <c r="CR389" s="18" t="s">
        <v>5141</v>
      </c>
      <c r="CS389" s="18" t="s">
        <v>5141</v>
      </c>
      <c r="CT389" s="18">
        <v>0</v>
      </c>
      <c r="CU389" s="18">
        <v>0</v>
      </c>
      <c r="CV389" s="18">
        <v>1</v>
      </c>
      <c r="CX389" s="18">
        <v>1</v>
      </c>
      <c r="CY389" s="18">
        <v>1</v>
      </c>
      <c r="CZ389" s="18">
        <v>1</v>
      </c>
      <c r="DA389" s="18">
        <v>1</v>
      </c>
      <c r="DB389" s="18">
        <v>1</v>
      </c>
      <c r="DC389" s="18">
        <v>1</v>
      </c>
      <c r="DD389" s="18">
        <v>1</v>
      </c>
      <c r="DE389" s="18" t="s">
        <v>5141</v>
      </c>
      <c r="DF389" s="18" t="s">
        <v>5141</v>
      </c>
      <c r="DG389" s="18">
        <v>1</v>
      </c>
      <c r="DH389" s="18">
        <v>1</v>
      </c>
      <c r="DI389" s="18">
        <v>1</v>
      </c>
      <c r="DK389" s="18">
        <v>0</v>
      </c>
      <c r="DL389" s="18">
        <v>0</v>
      </c>
      <c r="DM389" s="18" t="s">
        <v>5127</v>
      </c>
      <c r="DN389" s="18" t="s">
        <v>5299</v>
      </c>
      <c r="DO389" s="18" t="s">
        <v>5681</v>
      </c>
      <c r="DP389" s="18" t="s">
        <v>113</v>
      </c>
      <c r="DS389" s="18">
        <v>0</v>
      </c>
      <c r="DT389" s="18">
        <v>1</v>
      </c>
      <c r="DU389" s="18">
        <v>2</v>
      </c>
      <c r="DV389" s="18" t="s">
        <v>5260</v>
      </c>
      <c r="DX389" s="18" t="s">
        <v>5145</v>
      </c>
      <c r="DY389" s="18" t="s">
        <v>106</v>
      </c>
      <c r="DZ389" s="18" t="s">
        <v>113</v>
      </c>
      <c r="EA389" s="18" t="s">
        <v>5175</v>
      </c>
      <c r="EB389" s="18">
        <v>794</v>
      </c>
      <c r="EC389" s="18" t="s">
        <v>106</v>
      </c>
      <c r="ED389" s="18" t="s">
        <v>5176</v>
      </c>
      <c r="EE389" s="18" t="s">
        <v>106</v>
      </c>
      <c r="EF389" s="18" t="s">
        <v>113</v>
      </c>
      <c r="EG389" s="18" t="s">
        <v>5404</v>
      </c>
      <c r="EH389" s="18" t="s">
        <v>5203</v>
      </c>
      <c r="EI389" s="18" t="s">
        <v>5204</v>
      </c>
      <c r="EJ389" s="18" t="s">
        <v>6392</v>
      </c>
      <c r="EK389" s="18" t="s">
        <v>113</v>
      </c>
      <c r="EN389" s="18" t="s">
        <v>113</v>
      </c>
      <c r="EO389" s="18" t="s">
        <v>113</v>
      </c>
      <c r="EP389" s="18" t="s">
        <v>113</v>
      </c>
      <c r="EQ389" s="18" t="s">
        <v>113</v>
      </c>
      <c r="ER389" s="18" t="s">
        <v>5289</v>
      </c>
      <c r="ES389" s="18" t="s">
        <v>5317</v>
      </c>
      <c r="ET389" s="18" t="s">
        <v>5154</v>
      </c>
      <c r="EU389" s="18" t="s">
        <v>5155</v>
      </c>
      <c r="EV389" s="18" t="s">
        <v>5608</v>
      </c>
      <c r="EW389" s="18" t="s">
        <v>5157</v>
      </c>
      <c r="EX389" s="18" t="s">
        <v>5158</v>
      </c>
      <c r="EY389" s="18" t="s">
        <v>5248</v>
      </c>
      <c r="EZ389" s="18" t="s">
        <v>5182</v>
      </c>
      <c r="FA389" s="18" t="s">
        <v>144</v>
      </c>
      <c r="FB389" s="18" t="s">
        <v>5161</v>
      </c>
    </row>
    <row r="390" spans="1:158" ht="10.5" customHeight="1" x14ac:dyDescent="0.2">
      <c r="A390" s="16">
        <v>41</v>
      </c>
      <c r="B390" s="16" t="s">
        <v>3739</v>
      </c>
      <c r="C390" s="16" t="s">
        <v>3738</v>
      </c>
      <c r="D390" s="16">
        <v>4636</v>
      </c>
      <c r="E390" s="16" t="s">
        <v>6656</v>
      </c>
      <c r="F390" s="18" t="s">
        <v>3738</v>
      </c>
      <c r="G390" s="18" t="s">
        <v>106</v>
      </c>
      <c r="H390" s="15" t="s">
        <v>5127</v>
      </c>
      <c r="I390" s="18">
        <v>6</v>
      </c>
      <c r="J390" s="18">
        <v>4</v>
      </c>
      <c r="K390" s="18">
        <v>2</v>
      </c>
      <c r="L390" s="18">
        <v>0</v>
      </c>
      <c r="M390" s="18" t="s">
        <v>5183</v>
      </c>
      <c r="N390" s="18" t="s">
        <v>6393</v>
      </c>
      <c r="O390" s="18">
        <v>48609</v>
      </c>
      <c r="T390" s="18" t="s">
        <v>111</v>
      </c>
      <c r="U390" s="18" t="s">
        <v>5123</v>
      </c>
      <c r="V390" s="18" t="s">
        <v>106</v>
      </c>
      <c r="W390" s="18" t="s">
        <v>5124</v>
      </c>
      <c r="Y390" s="18" t="s">
        <v>5232</v>
      </c>
      <c r="Z390" s="18" t="s">
        <v>106</v>
      </c>
      <c r="AA390" s="18" t="s">
        <v>5163</v>
      </c>
      <c r="AB390" s="18" t="s">
        <v>179</v>
      </c>
      <c r="AC390" s="18" t="s">
        <v>5127</v>
      </c>
      <c r="AD390" s="18" t="s">
        <v>5127</v>
      </c>
      <c r="AE390" s="18" t="s">
        <v>5127</v>
      </c>
      <c r="AF390" s="18" t="s">
        <v>5127</v>
      </c>
      <c r="AG390" s="18" t="s">
        <v>5127</v>
      </c>
      <c r="AH390" s="18" t="s">
        <v>5127</v>
      </c>
      <c r="AI390" s="18">
        <v>1</v>
      </c>
      <c r="AK390" s="18" t="s">
        <v>5279</v>
      </c>
      <c r="AN390" s="18">
        <v>206</v>
      </c>
      <c r="AO390" s="18" t="s">
        <v>5165</v>
      </c>
      <c r="AP390" s="18" t="s">
        <v>6394</v>
      </c>
      <c r="AQ390" s="18" t="s">
        <v>5311</v>
      </c>
      <c r="AR390" s="18" t="s">
        <v>5168</v>
      </c>
      <c r="AT390" s="17">
        <f>(365*D390*0.7)/1000</f>
        <v>1184.498</v>
      </c>
      <c r="AU390" s="17">
        <f t="shared" si="22"/>
        <v>36</v>
      </c>
      <c r="AV390" s="18">
        <v>36</v>
      </c>
      <c r="AW390" s="18">
        <v>0</v>
      </c>
      <c r="AY390" s="18" t="s">
        <v>5334</v>
      </c>
      <c r="BG390" s="18" t="s">
        <v>5133</v>
      </c>
      <c r="BQ390" s="18">
        <v>71</v>
      </c>
      <c r="BR390" s="18">
        <v>48</v>
      </c>
      <c r="BS390" s="18">
        <v>34</v>
      </c>
      <c r="BT390" s="18">
        <v>18</v>
      </c>
      <c r="BU390" s="18">
        <v>0</v>
      </c>
      <c r="BV390" s="18">
        <v>171</v>
      </c>
      <c r="BW390" s="15">
        <f t="shared" si="23"/>
        <v>171</v>
      </c>
      <c r="BY390" s="18" t="s">
        <v>5134</v>
      </c>
      <c r="BZ390" s="18" t="s">
        <v>5494</v>
      </c>
      <c r="CD390" s="18" t="s">
        <v>5127</v>
      </c>
      <c r="CE390" s="18" t="s">
        <v>5127</v>
      </c>
      <c r="CF390" s="18" t="s">
        <v>5135</v>
      </c>
      <c r="CG390" s="18" t="s">
        <v>5193</v>
      </c>
      <c r="CH390" s="18" t="s">
        <v>5137</v>
      </c>
      <c r="CI390" s="18" t="s">
        <v>5195</v>
      </c>
      <c r="CJ390" s="18" t="s">
        <v>5139</v>
      </c>
      <c r="CK390" s="18" t="s">
        <v>5197</v>
      </c>
      <c r="CL390" s="18">
        <v>1</v>
      </c>
      <c r="CM390" s="18">
        <v>0</v>
      </c>
      <c r="CN390" s="18">
        <v>1</v>
      </c>
      <c r="CO390" s="18">
        <v>0</v>
      </c>
      <c r="CP390" s="18">
        <v>0</v>
      </c>
      <c r="CQ390" s="18">
        <v>0</v>
      </c>
      <c r="CR390" s="18" t="s">
        <v>5141</v>
      </c>
      <c r="CS390" s="18" t="s">
        <v>5141</v>
      </c>
      <c r="CT390" s="18">
        <v>0</v>
      </c>
      <c r="CU390" s="18">
        <v>0</v>
      </c>
      <c r="CV390" s="18">
        <v>0</v>
      </c>
      <c r="CX390" s="18">
        <v>0</v>
      </c>
      <c r="CY390" s="18">
        <v>0</v>
      </c>
      <c r="CZ390" s="18">
        <v>0</v>
      </c>
      <c r="DA390" s="18">
        <v>1</v>
      </c>
      <c r="DB390" s="18">
        <v>1</v>
      </c>
      <c r="DC390" s="18">
        <v>1</v>
      </c>
      <c r="DD390" s="18">
        <v>1</v>
      </c>
      <c r="DE390" s="18">
        <v>0</v>
      </c>
      <c r="DF390" s="18" t="s">
        <v>5141</v>
      </c>
      <c r="DG390" s="18">
        <v>1</v>
      </c>
      <c r="DH390" s="18">
        <v>1</v>
      </c>
      <c r="DI390" s="18">
        <v>1</v>
      </c>
      <c r="DK390" s="18">
        <v>0</v>
      </c>
      <c r="DL390" s="18">
        <v>0</v>
      </c>
      <c r="DM390" s="18" t="s">
        <v>5127</v>
      </c>
      <c r="DN390" s="18" t="s">
        <v>5258</v>
      </c>
      <c r="DO390" s="18" t="s">
        <v>5300</v>
      </c>
      <c r="DP390" s="18" t="s">
        <v>113</v>
      </c>
      <c r="DQ390" s="18" t="s">
        <v>5132</v>
      </c>
      <c r="DS390" s="18">
        <v>0</v>
      </c>
      <c r="DT390" s="18">
        <v>1</v>
      </c>
      <c r="DU390" s="18">
        <v>0</v>
      </c>
      <c r="DV390" s="18" t="s">
        <v>5144</v>
      </c>
      <c r="DX390" s="18" t="s">
        <v>5222</v>
      </c>
      <c r="DY390" s="18" t="s">
        <v>106</v>
      </c>
      <c r="DZ390" s="18" t="s">
        <v>113</v>
      </c>
      <c r="EA390" s="18" t="s">
        <v>5202</v>
      </c>
      <c r="EB390" s="18">
        <v>171</v>
      </c>
      <c r="EC390" s="18" t="s">
        <v>106</v>
      </c>
      <c r="ED390" s="18" t="s">
        <v>5176</v>
      </c>
      <c r="EE390" s="18" t="s">
        <v>106</v>
      </c>
      <c r="EF390" s="18" t="s">
        <v>106</v>
      </c>
      <c r="EG390" s="18" t="s">
        <v>5148</v>
      </c>
      <c r="EH390" s="18" t="s">
        <v>5203</v>
      </c>
      <c r="EI390" s="18" t="s">
        <v>5204</v>
      </c>
      <c r="EJ390" s="18" t="s">
        <v>5646</v>
      </c>
      <c r="EK390" s="18" t="s">
        <v>113</v>
      </c>
      <c r="EL390" s="18" t="s">
        <v>6395</v>
      </c>
      <c r="EM390" s="18" t="s">
        <v>5514</v>
      </c>
      <c r="EN390" s="18" t="s">
        <v>113</v>
      </c>
      <c r="EO390" s="18" t="s">
        <v>113</v>
      </c>
      <c r="EP390" s="18" t="s">
        <v>113</v>
      </c>
      <c r="EQ390" s="18" t="s">
        <v>106</v>
      </c>
      <c r="ER390" s="18" t="s">
        <v>5289</v>
      </c>
      <c r="ES390" s="18" t="s">
        <v>5352</v>
      </c>
      <c r="ET390" s="18" t="s">
        <v>5154</v>
      </c>
      <c r="EU390" s="18" t="s">
        <v>5289</v>
      </c>
      <c r="EV390" s="18" t="s">
        <v>6177</v>
      </c>
      <c r="EW390" s="18" t="s">
        <v>6396</v>
      </c>
      <c r="EX390" s="18" t="s">
        <v>5158</v>
      </c>
      <c r="EY390" s="18" t="s">
        <v>5438</v>
      </c>
      <c r="EZ390" s="18" t="s">
        <v>5160</v>
      </c>
      <c r="FA390" s="18" t="s">
        <v>144</v>
      </c>
      <c r="FB390" s="18" t="s">
        <v>5161</v>
      </c>
    </row>
    <row r="391" spans="1:158" ht="10.5" customHeight="1" x14ac:dyDescent="0.2">
      <c r="A391" s="16">
        <v>41</v>
      </c>
      <c r="B391" s="16" t="s">
        <v>4170</v>
      </c>
      <c r="C391" s="16" t="s">
        <v>4171</v>
      </c>
      <c r="D391" s="16">
        <v>31405</v>
      </c>
      <c r="E391" s="16" t="s">
        <v>6658</v>
      </c>
      <c r="F391" s="18" t="s">
        <v>4171</v>
      </c>
      <c r="G391" s="18" t="s">
        <v>106</v>
      </c>
      <c r="H391" s="15" t="s">
        <v>5127</v>
      </c>
      <c r="I391" s="18">
        <v>13</v>
      </c>
      <c r="J391" s="18">
        <v>5</v>
      </c>
      <c r="K391" s="18">
        <v>8</v>
      </c>
      <c r="L391" s="18">
        <v>0</v>
      </c>
      <c r="M391" s="18" t="s">
        <v>5230</v>
      </c>
      <c r="N391" s="18" t="s">
        <v>111</v>
      </c>
      <c r="O391" s="18">
        <v>45826</v>
      </c>
      <c r="T391" s="18" t="s">
        <v>5240</v>
      </c>
      <c r="U391" s="18" t="s">
        <v>5123</v>
      </c>
      <c r="V391" s="18" t="s">
        <v>106</v>
      </c>
      <c r="W391" s="18" t="s">
        <v>5211</v>
      </c>
      <c r="Y391" s="18" t="s">
        <v>5232</v>
      </c>
      <c r="Z391" s="18" t="s">
        <v>106</v>
      </c>
      <c r="AA391" s="18" t="s">
        <v>5163</v>
      </c>
      <c r="AB391" s="18" t="s">
        <v>179</v>
      </c>
      <c r="AC391" s="18" t="s">
        <v>5127</v>
      </c>
      <c r="AD391" s="18" t="s">
        <v>111</v>
      </c>
      <c r="AE391" s="18" t="s">
        <v>5127</v>
      </c>
      <c r="AF391" s="18" t="s">
        <v>111</v>
      </c>
      <c r="AG391" s="18" t="s">
        <v>5127</v>
      </c>
      <c r="AH391" s="18" t="s">
        <v>5127</v>
      </c>
      <c r="AI391" s="18">
        <v>1</v>
      </c>
      <c r="AK391" s="18" t="s">
        <v>5164</v>
      </c>
      <c r="AN391" s="18">
        <v>0</v>
      </c>
      <c r="AO391" s="18" t="s">
        <v>5186</v>
      </c>
      <c r="AP391" s="18" t="s">
        <v>6397</v>
      </c>
      <c r="AQ391" s="18" t="s">
        <v>6398</v>
      </c>
      <c r="AR391" s="18" t="s">
        <v>5168</v>
      </c>
      <c r="AT391" s="17">
        <f>(365*D391*0.7)/1000</f>
        <v>8023.9774999999991</v>
      </c>
      <c r="AU391" s="17">
        <f t="shared" si="22"/>
        <v>0</v>
      </c>
      <c r="AV391" s="18">
        <v>0</v>
      </c>
      <c r="AW391" s="18">
        <v>0</v>
      </c>
      <c r="AY391" s="18" t="s">
        <v>5253</v>
      </c>
      <c r="AZ391" s="18">
        <v>0</v>
      </c>
      <c r="BD391" s="18">
        <f>7200/1000</f>
        <v>7.2</v>
      </c>
      <c r="BG391" s="18" t="s">
        <v>5281</v>
      </c>
      <c r="BQ391" s="18">
        <v>18</v>
      </c>
      <c r="BR391" s="18">
        <v>95</v>
      </c>
      <c r="BS391" s="18">
        <v>34</v>
      </c>
      <c r="BT391" s="18">
        <v>101.48</v>
      </c>
      <c r="BU391" s="18">
        <v>0</v>
      </c>
      <c r="BV391" s="18">
        <f>SUM(BQ391:BU391)</f>
        <v>248.48000000000002</v>
      </c>
      <c r="BW391" s="15">
        <f t="shared" si="23"/>
        <v>248.48000000000002</v>
      </c>
      <c r="BY391" s="18" t="s">
        <v>5134</v>
      </c>
      <c r="BZ391" s="18" t="s">
        <v>5240</v>
      </c>
      <c r="CD391" s="18" t="s">
        <v>5127</v>
      </c>
      <c r="CE391" s="18" t="s">
        <v>5127</v>
      </c>
      <c r="CF391" s="18" t="s">
        <v>5529</v>
      </c>
      <c r="CG391" s="18" t="s">
        <v>5679</v>
      </c>
      <c r="CH391" s="18" t="s">
        <v>5194</v>
      </c>
      <c r="CI391" s="18" t="s">
        <v>5138</v>
      </c>
      <c r="CJ391" s="18" t="s">
        <v>5196</v>
      </c>
      <c r="CK391" s="18" t="s">
        <v>5197</v>
      </c>
      <c r="CL391" s="18">
        <v>3</v>
      </c>
      <c r="CM391" s="18">
        <v>1</v>
      </c>
      <c r="CN391" s="18">
        <v>0</v>
      </c>
      <c r="CO391" s="18">
        <v>1</v>
      </c>
      <c r="CP391" s="18">
        <v>0</v>
      </c>
      <c r="CQ391" s="18">
        <v>1</v>
      </c>
      <c r="CR391" s="18" t="s">
        <v>5141</v>
      </c>
      <c r="CS391" s="18" t="s">
        <v>5141</v>
      </c>
      <c r="CT391" s="18">
        <v>2</v>
      </c>
      <c r="CU391" s="18">
        <v>0</v>
      </c>
      <c r="CV391" s="18" t="s">
        <v>5141</v>
      </c>
      <c r="CX391" s="18">
        <v>0</v>
      </c>
      <c r="CY391" s="18">
        <v>0</v>
      </c>
      <c r="CZ391" s="18">
        <v>0</v>
      </c>
      <c r="DA391" s="18">
        <v>1</v>
      </c>
      <c r="DB391" s="18">
        <v>0</v>
      </c>
      <c r="DC391" s="18">
        <v>0</v>
      </c>
      <c r="DD391" s="18">
        <v>0</v>
      </c>
      <c r="DE391" s="18" t="s">
        <v>6028</v>
      </c>
      <c r="DF391" s="18" t="s">
        <v>5141</v>
      </c>
      <c r="DG391" s="18">
        <v>0</v>
      </c>
      <c r="DH391" s="18">
        <v>2</v>
      </c>
      <c r="DI391" s="18" t="s">
        <v>5141</v>
      </c>
      <c r="DK391" s="18">
        <v>0</v>
      </c>
      <c r="DL391" s="18">
        <v>0</v>
      </c>
      <c r="DM391" s="18" t="s">
        <v>5127</v>
      </c>
      <c r="DN391" s="18" t="s">
        <v>5172</v>
      </c>
      <c r="DO391" s="18" t="s">
        <v>6260</v>
      </c>
      <c r="DP391" s="18" t="s">
        <v>106</v>
      </c>
      <c r="DQ391" s="18" t="s">
        <v>5168</v>
      </c>
      <c r="DS391" s="18">
        <v>0</v>
      </c>
      <c r="DT391" s="18">
        <v>0</v>
      </c>
      <c r="DU391" s="18">
        <v>1</v>
      </c>
      <c r="DV391" s="18" t="s">
        <v>5260</v>
      </c>
      <c r="DX391" s="18" t="s">
        <v>5222</v>
      </c>
      <c r="DY391" s="18" t="s">
        <v>106</v>
      </c>
      <c r="DZ391" s="18" t="s">
        <v>113</v>
      </c>
      <c r="EA391" s="18" t="s">
        <v>5202</v>
      </c>
      <c r="EB391" s="18">
        <v>0</v>
      </c>
      <c r="EC391" s="18" t="s">
        <v>113</v>
      </c>
      <c r="ED391" s="18" t="s">
        <v>5147</v>
      </c>
      <c r="EE391" s="18" t="s">
        <v>106</v>
      </c>
      <c r="EF391" s="18" t="s">
        <v>113</v>
      </c>
      <c r="EG391" s="18" t="s">
        <v>5148</v>
      </c>
      <c r="EH391" s="18" t="s">
        <v>5203</v>
      </c>
      <c r="EI391" s="18" t="s">
        <v>6065</v>
      </c>
      <c r="EJ391" s="18" t="s">
        <v>5646</v>
      </c>
      <c r="EK391" s="18" t="s">
        <v>113</v>
      </c>
      <c r="EL391" s="18" t="s">
        <v>6399</v>
      </c>
      <c r="EM391" s="18" t="s">
        <v>5227</v>
      </c>
      <c r="EN391" s="18" t="s">
        <v>113</v>
      </c>
      <c r="EO391" s="18" t="s">
        <v>106</v>
      </c>
      <c r="EP391" s="18" t="s">
        <v>113</v>
      </c>
      <c r="EQ391" s="18" t="s">
        <v>106</v>
      </c>
      <c r="ER391" s="18" t="s">
        <v>5152</v>
      </c>
      <c r="ES391" s="18" t="s">
        <v>5153</v>
      </c>
      <c r="ET391" s="18" t="s">
        <v>5154</v>
      </c>
      <c r="EV391" s="18" t="s">
        <v>5207</v>
      </c>
      <c r="EW391" s="18" t="s">
        <v>6400</v>
      </c>
      <c r="EX391" s="18" t="s">
        <v>5158</v>
      </c>
      <c r="EY391" s="18" t="s">
        <v>5229</v>
      </c>
      <c r="EZ391" s="18" t="s">
        <v>5160</v>
      </c>
      <c r="FA391" s="18" t="s">
        <v>144</v>
      </c>
      <c r="FB391" s="18" t="s">
        <v>5161</v>
      </c>
    </row>
    <row r="392" spans="1:158" ht="10.5" customHeight="1" x14ac:dyDescent="0.2">
      <c r="A392" s="16">
        <v>41</v>
      </c>
      <c r="B392" s="16" t="s">
        <v>2866</v>
      </c>
      <c r="C392" s="16" t="s">
        <v>2867</v>
      </c>
      <c r="D392" s="16">
        <v>10693</v>
      </c>
      <c r="E392" s="16" t="s">
        <v>6656</v>
      </c>
      <c r="F392" s="18" t="s">
        <v>2867</v>
      </c>
      <c r="G392" s="18" t="s">
        <v>106</v>
      </c>
      <c r="H392" s="15" t="s">
        <v>5127</v>
      </c>
      <c r="I392" s="18">
        <v>9</v>
      </c>
      <c r="J392" s="18">
        <v>0</v>
      </c>
      <c r="K392" s="18">
        <v>9</v>
      </c>
      <c r="L392" s="18">
        <v>1</v>
      </c>
      <c r="M392" s="18" t="s">
        <v>5230</v>
      </c>
      <c r="N392" s="18" t="s">
        <v>6401</v>
      </c>
      <c r="T392" s="18" t="s">
        <v>111</v>
      </c>
      <c r="U392" s="18" t="s">
        <v>5250</v>
      </c>
      <c r="V392" s="18" t="s">
        <v>106</v>
      </c>
      <c r="W392" s="18" t="s">
        <v>5211</v>
      </c>
      <c r="Y392" s="18" t="s">
        <v>5656</v>
      </c>
      <c r="Z392" s="18" t="s">
        <v>106</v>
      </c>
      <c r="AA392" s="18" t="s">
        <v>5163</v>
      </c>
      <c r="AB392" s="18" t="s">
        <v>179</v>
      </c>
      <c r="AC392" s="18" t="s">
        <v>5127</v>
      </c>
      <c r="AD392" s="18" t="s">
        <v>5127</v>
      </c>
      <c r="AE392" s="18" t="s">
        <v>5127</v>
      </c>
      <c r="AF392" s="18" t="s">
        <v>5127</v>
      </c>
      <c r="AG392" s="18" t="s">
        <v>5127</v>
      </c>
      <c r="AH392" s="18" t="s">
        <v>5127</v>
      </c>
      <c r="AI392" s="18">
        <v>1</v>
      </c>
      <c r="AK392" s="18" t="s">
        <v>5164</v>
      </c>
      <c r="AN392" s="18">
        <v>1740</v>
      </c>
      <c r="AO392" s="18" t="s">
        <v>5186</v>
      </c>
      <c r="AP392" s="18" t="s">
        <v>6402</v>
      </c>
      <c r="AQ392" s="18" t="s">
        <v>5393</v>
      </c>
      <c r="AR392" s="18" t="s">
        <v>5727</v>
      </c>
      <c r="AT392" s="17">
        <f>(365*D392*0.7)/1000</f>
        <v>2732.0614999999998</v>
      </c>
      <c r="AU392" s="17">
        <f t="shared" si="22"/>
        <v>348</v>
      </c>
      <c r="AV392" s="18">
        <v>348</v>
      </c>
      <c r="AW392" s="18">
        <v>0</v>
      </c>
      <c r="AY392" s="18" t="s">
        <v>5253</v>
      </c>
      <c r="AZ392" s="18">
        <v>0</v>
      </c>
      <c r="BA392" s="18">
        <v>0</v>
      </c>
      <c r="BB392" s="18">
        <v>0</v>
      </c>
      <c r="BD392" s="18">
        <v>0</v>
      </c>
      <c r="BE392" s="18">
        <v>700</v>
      </c>
      <c r="BG392" s="18" t="s">
        <v>5190</v>
      </c>
      <c r="BH392" s="18">
        <v>0</v>
      </c>
      <c r="BI392" s="18">
        <v>0</v>
      </c>
      <c r="BQ392" s="18">
        <v>261</v>
      </c>
      <c r="BR392" s="18">
        <v>261</v>
      </c>
      <c r="BS392" s="18">
        <v>87</v>
      </c>
      <c r="BT392" s="18">
        <v>87</v>
      </c>
      <c r="BU392" s="18">
        <v>45</v>
      </c>
      <c r="BV392" s="18">
        <f>SUM(BQ392:BU392)</f>
        <v>741</v>
      </c>
      <c r="BW392" s="15">
        <f t="shared" si="23"/>
        <v>741</v>
      </c>
      <c r="BY392" s="18" t="s">
        <v>5340</v>
      </c>
      <c r="BZ392" s="18" t="s">
        <v>5312</v>
      </c>
      <c r="CD392" s="18" t="s">
        <v>5127</v>
      </c>
      <c r="CE392" s="18" t="s">
        <v>5127</v>
      </c>
      <c r="CF392" s="18" t="s">
        <v>5135</v>
      </c>
      <c r="CG392" s="18" t="s">
        <v>5410</v>
      </c>
      <c r="CH392" s="18" t="s">
        <v>5556</v>
      </c>
      <c r="CI392" s="18" t="s">
        <v>5138</v>
      </c>
      <c r="CJ392" s="18" t="s">
        <v>5196</v>
      </c>
      <c r="CK392" s="18" t="s">
        <v>5197</v>
      </c>
      <c r="CL392" s="18">
        <v>3</v>
      </c>
      <c r="CM392" s="18">
        <v>0</v>
      </c>
      <c r="CN392" s="18">
        <v>0</v>
      </c>
      <c r="CO392" s="18">
        <v>1</v>
      </c>
      <c r="CP392" s="18">
        <v>3</v>
      </c>
      <c r="CQ392" s="18">
        <v>0</v>
      </c>
      <c r="CR392" s="18">
        <v>0</v>
      </c>
      <c r="CS392" s="18" t="s">
        <v>5141</v>
      </c>
      <c r="CT392" s="18">
        <v>0</v>
      </c>
      <c r="CU392" s="18">
        <v>0</v>
      </c>
      <c r="CV392" s="18">
        <v>0</v>
      </c>
      <c r="CX392" s="18">
        <v>0</v>
      </c>
      <c r="CY392" s="18">
        <v>0</v>
      </c>
      <c r="CZ392" s="18">
        <v>0</v>
      </c>
      <c r="DA392" s="18">
        <v>0</v>
      </c>
      <c r="DB392" s="18">
        <v>1</v>
      </c>
      <c r="DC392" s="18">
        <v>0</v>
      </c>
      <c r="DD392" s="18">
        <v>1</v>
      </c>
      <c r="DE392" s="18">
        <v>0</v>
      </c>
      <c r="DF392" s="18" t="s">
        <v>5141</v>
      </c>
      <c r="DG392" s="18">
        <v>0</v>
      </c>
      <c r="DH392" s="18">
        <v>1</v>
      </c>
      <c r="DI392" s="18" t="s">
        <v>5141</v>
      </c>
      <c r="DK392" s="18">
        <v>0</v>
      </c>
      <c r="DL392" s="18">
        <v>1</v>
      </c>
      <c r="DM392" s="18" t="s">
        <v>5127</v>
      </c>
      <c r="DN392" s="18" t="s">
        <v>5172</v>
      </c>
      <c r="DO392" s="18" t="s">
        <v>5665</v>
      </c>
      <c r="DP392" s="18" t="s">
        <v>113</v>
      </c>
      <c r="DQ392" s="18" t="s">
        <v>5168</v>
      </c>
      <c r="DS392" s="18">
        <v>0</v>
      </c>
      <c r="DT392" s="18">
        <v>0</v>
      </c>
      <c r="DU392" s="18">
        <v>1</v>
      </c>
      <c r="DV392" s="18" t="s">
        <v>5444</v>
      </c>
      <c r="DX392" s="18" t="s">
        <v>5222</v>
      </c>
      <c r="DY392" s="18" t="s">
        <v>106</v>
      </c>
      <c r="DZ392" s="18" t="s">
        <v>113</v>
      </c>
      <c r="EA392" s="18" t="s">
        <v>5202</v>
      </c>
      <c r="EB392" s="18">
        <v>696</v>
      </c>
      <c r="EC392" s="18" t="s">
        <v>113</v>
      </c>
      <c r="ED392" s="18" t="s">
        <v>5176</v>
      </c>
      <c r="EE392" s="18" t="s">
        <v>106</v>
      </c>
      <c r="EF392" s="18" t="s">
        <v>113</v>
      </c>
      <c r="EG392" s="18" t="s">
        <v>6403</v>
      </c>
      <c r="EH392" s="18" t="s">
        <v>5203</v>
      </c>
      <c r="EI392" s="18" t="s">
        <v>5204</v>
      </c>
      <c r="EJ392" s="18" t="s">
        <v>5361</v>
      </c>
      <c r="EK392" s="18" t="s">
        <v>113</v>
      </c>
      <c r="EL392" s="18" t="s">
        <v>6404</v>
      </c>
      <c r="EM392" s="18" t="s">
        <v>6405</v>
      </c>
      <c r="EN392" s="18" t="s">
        <v>113</v>
      </c>
      <c r="EO392" s="18" t="s">
        <v>113</v>
      </c>
      <c r="EP392" s="18" t="s">
        <v>106</v>
      </c>
      <c r="EQ392" s="18" t="s">
        <v>113</v>
      </c>
      <c r="ER392" s="18" t="s">
        <v>5206</v>
      </c>
      <c r="ES392" s="18" t="s">
        <v>5153</v>
      </c>
      <c r="ET392" s="18" t="s">
        <v>5154</v>
      </c>
      <c r="EU392" s="18" t="s">
        <v>5155</v>
      </c>
      <c r="EV392" s="18" t="s">
        <v>5319</v>
      </c>
      <c r="EW392" s="18" t="s">
        <v>5669</v>
      </c>
      <c r="EX392" s="18" t="s">
        <v>5158</v>
      </c>
      <c r="EY392" s="18" t="s">
        <v>5229</v>
      </c>
      <c r="EZ392" s="18" t="s">
        <v>5160</v>
      </c>
      <c r="FA392" s="18" t="s">
        <v>144</v>
      </c>
      <c r="FB392" s="18" t="s">
        <v>5161</v>
      </c>
    </row>
    <row r="393" spans="1:158" ht="10.5" customHeight="1" x14ac:dyDescent="0.2">
      <c r="A393" s="16">
        <v>41</v>
      </c>
      <c r="B393" s="16" t="s">
        <v>3751</v>
      </c>
      <c r="C393" s="16" t="s">
        <v>3750</v>
      </c>
      <c r="D393" s="16">
        <v>5060</v>
      </c>
      <c r="E393" s="16" t="s">
        <v>6656</v>
      </c>
      <c r="F393" s="18" t="s">
        <v>3750</v>
      </c>
      <c r="G393" s="18" t="s">
        <v>106</v>
      </c>
      <c r="H393" s="15" t="s">
        <v>5127</v>
      </c>
      <c r="I393" s="18">
        <v>6</v>
      </c>
      <c r="J393" s="18">
        <v>5</v>
      </c>
      <c r="K393" s="18">
        <v>1</v>
      </c>
      <c r="M393" s="18" t="s">
        <v>5121</v>
      </c>
      <c r="N393" s="18" t="s">
        <v>3755</v>
      </c>
      <c r="O393" s="18">
        <v>46348</v>
      </c>
      <c r="T393" s="18" t="s">
        <v>111</v>
      </c>
      <c r="U393" s="18" t="s">
        <v>5250</v>
      </c>
      <c r="V393" s="18" t="s">
        <v>106</v>
      </c>
      <c r="W393" s="18" t="s">
        <v>113</v>
      </c>
      <c r="Y393" s="18" t="s">
        <v>5232</v>
      </c>
      <c r="Z393" s="18" t="s">
        <v>113</v>
      </c>
      <c r="AA393" s="18" t="s">
        <v>5163</v>
      </c>
      <c r="AB393" s="18" t="s">
        <v>5213</v>
      </c>
      <c r="AC393" s="18" t="s">
        <v>111</v>
      </c>
      <c r="AD393" s="18" t="s">
        <v>5127</v>
      </c>
      <c r="AE393" s="18" t="s">
        <v>5127</v>
      </c>
      <c r="AF393" s="18" t="s">
        <v>111</v>
      </c>
      <c r="AG393" s="18" t="s">
        <v>5127</v>
      </c>
      <c r="AH393" s="18" t="s">
        <v>5127</v>
      </c>
      <c r="AI393" s="18">
        <v>1</v>
      </c>
      <c r="AK393" s="18" t="s">
        <v>5164</v>
      </c>
      <c r="AN393" s="18">
        <v>500</v>
      </c>
      <c r="AO393" s="18" t="s">
        <v>5129</v>
      </c>
      <c r="AP393" s="18" t="s">
        <v>6406</v>
      </c>
      <c r="AQ393" s="18" t="s">
        <v>5252</v>
      </c>
      <c r="AR393" s="18" t="s">
        <v>5132</v>
      </c>
      <c r="AT393" s="17">
        <f>(365*D393*0.7)/1000</f>
        <v>1292.83</v>
      </c>
      <c r="AU393" s="17">
        <f t="shared" si="22"/>
        <v>712</v>
      </c>
      <c r="AV393" s="18">
        <v>712</v>
      </c>
      <c r="AW393" s="18">
        <v>0</v>
      </c>
      <c r="AY393" s="18" t="s">
        <v>5334</v>
      </c>
      <c r="BA393" s="18">
        <f>146/1000</f>
        <v>0.14599999999999999</v>
      </c>
      <c r="BG393" s="18" t="s">
        <v>5169</v>
      </c>
      <c r="BQ393" s="18">
        <v>37</v>
      </c>
      <c r="BR393" s="18">
        <v>25.5</v>
      </c>
      <c r="BS393" s="18">
        <v>0.74</v>
      </c>
      <c r="BT393" s="18">
        <v>14.37</v>
      </c>
      <c r="BU393" s="18">
        <v>1.1499999999999999</v>
      </c>
      <c r="BV393" s="18">
        <v>78.75</v>
      </c>
      <c r="BW393" s="15">
        <f t="shared" si="23"/>
        <v>78.760000000000005</v>
      </c>
      <c r="BY393" s="18" t="s">
        <v>5134</v>
      </c>
      <c r="BZ393" s="18" t="s">
        <v>193</v>
      </c>
      <c r="CD393" s="18" t="s">
        <v>5127</v>
      </c>
      <c r="CE393" s="18" t="s">
        <v>5127</v>
      </c>
      <c r="CF393" s="18" t="s">
        <v>5135</v>
      </c>
      <c r="CG393" s="18" t="s">
        <v>5920</v>
      </c>
      <c r="CH393" s="18" t="s">
        <v>5241</v>
      </c>
      <c r="CI393" s="18" t="s">
        <v>111</v>
      </c>
      <c r="CJ393" s="18" t="s">
        <v>5196</v>
      </c>
      <c r="CK393" s="18" t="s">
        <v>5197</v>
      </c>
      <c r="CL393" s="18">
        <v>1</v>
      </c>
      <c r="CM393" s="18">
        <v>0</v>
      </c>
      <c r="CN393" s="18">
        <v>0</v>
      </c>
      <c r="CO393" s="18">
        <v>1</v>
      </c>
      <c r="CP393" s="18">
        <v>0</v>
      </c>
      <c r="CQ393" s="18">
        <v>0</v>
      </c>
      <c r="CR393" s="18" t="s">
        <v>5141</v>
      </c>
      <c r="CS393" s="18" t="s">
        <v>5141</v>
      </c>
      <c r="CT393" s="18">
        <v>1</v>
      </c>
      <c r="CU393" s="18">
        <v>1</v>
      </c>
      <c r="CV393" s="18">
        <v>0</v>
      </c>
      <c r="CX393" s="18">
        <v>1</v>
      </c>
      <c r="CY393" s="18">
        <v>1</v>
      </c>
      <c r="CZ393" s="18">
        <v>1</v>
      </c>
      <c r="DA393" s="18">
        <v>1</v>
      </c>
      <c r="DB393" s="18">
        <v>1</v>
      </c>
      <c r="DC393" s="18">
        <v>1</v>
      </c>
      <c r="DD393" s="18">
        <v>1</v>
      </c>
      <c r="DE393" s="18">
        <v>0</v>
      </c>
      <c r="DF393" s="18">
        <v>0</v>
      </c>
      <c r="DG393" s="18">
        <v>1</v>
      </c>
      <c r="DH393" s="18">
        <v>1</v>
      </c>
      <c r="DI393" s="18">
        <v>1</v>
      </c>
      <c r="DK393" s="18">
        <v>0</v>
      </c>
      <c r="DL393" s="18">
        <v>1</v>
      </c>
      <c r="DM393" s="18" t="s">
        <v>5127</v>
      </c>
      <c r="DN393" s="18" t="s">
        <v>5314</v>
      </c>
      <c r="DO393" s="18" t="s">
        <v>6407</v>
      </c>
      <c r="DP393" s="18" t="s">
        <v>113</v>
      </c>
      <c r="DS393" s="18">
        <v>0</v>
      </c>
      <c r="DT393" s="18">
        <v>0</v>
      </c>
      <c r="DU393" s="18">
        <v>1</v>
      </c>
      <c r="DV393" s="18" t="s">
        <v>5272</v>
      </c>
      <c r="DX393" s="18" t="s">
        <v>5145</v>
      </c>
      <c r="DY393" s="18" t="s">
        <v>106</v>
      </c>
      <c r="DZ393" s="18" t="s">
        <v>113</v>
      </c>
      <c r="EA393" s="18" t="s">
        <v>5146</v>
      </c>
      <c r="EB393" s="18">
        <v>77</v>
      </c>
      <c r="EC393" s="18" t="s">
        <v>106</v>
      </c>
      <c r="ED393" s="18" t="s">
        <v>5147</v>
      </c>
      <c r="EE393" s="18" t="s">
        <v>113</v>
      </c>
      <c r="EF393" s="18" t="s">
        <v>113</v>
      </c>
      <c r="EG393" s="18" t="s">
        <v>5148</v>
      </c>
      <c r="EH393" s="18" t="s">
        <v>5203</v>
      </c>
      <c r="EI393" s="18" t="s">
        <v>5204</v>
      </c>
      <c r="EJ393" s="18" t="s">
        <v>5945</v>
      </c>
      <c r="EK393" s="18" t="s">
        <v>113</v>
      </c>
      <c r="EL393" s="18" t="s">
        <v>276</v>
      </c>
      <c r="EM393" s="18" t="s">
        <v>5514</v>
      </c>
      <c r="EN393" s="18" t="s">
        <v>113</v>
      </c>
      <c r="EO393" s="18" t="s">
        <v>113</v>
      </c>
      <c r="EP393" s="18" t="s">
        <v>113</v>
      </c>
      <c r="EQ393" s="18" t="s">
        <v>113</v>
      </c>
      <c r="ER393" s="18" t="s">
        <v>5155</v>
      </c>
      <c r="ES393" s="18" t="s">
        <v>5447</v>
      </c>
      <c r="ET393" s="18" t="s">
        <v>5154</v>
      </c>
      <c r="EU393" s="18" t="s">
        <v>5318</v>
      </c>
      <c r="EV393" s="18" t="s">
        <v>6334</v>
      </c>
      <c r="EW393" s="18" t="s">
        <v>5320</v>
      </c>
      <c r="EX393" s="18" t="s">
        <v>5158</v>
      </c>
      <c r="EY393" s="18" t="s">
        <v>5229</v>
      </c>
      <c r="EZ393" s="18" t="s">
        <v>5308</v>
      </c>
      <c r="FA393" s="18" t="s">
        <v>144</v>
      </c>
      <c r="FB393" s="18" t="s">
        <v>5161</v>
      </c>
    </row>
    <row r="394" spans="1:158" ht="10.5" customHeight="1" x14ac:dyDescent="0.2">
      <c r="A394" s="16">
        <v>41</v>
      </c>
      <c r="B394" s="16" t="s">
        <v>3748</v>
      </c>
      <c r="C394" s="16" t="s">
        <v>3749</v>
      </c>
      <c r="D394" s="16">
        <v>18823</v>
      </c>
      <c r="E394" s="16" t="s">
        <v>6658</v>
      </c>
      <c r="H394" s="15" t="s">
        <v>6661</v>
      </c>
      <c r="AT394" s="17">
        <f>(365*D394*0.7)/1000</f>
        <v>4809.2764999999999</v>
      </c>
      <c r="AU394" s="17">
        <f t="shared" si="22"/>
        <v>0</v>
      </c>
      <c r="BW394" s="15">
        <f t="shared" si="23"/>
        <v>0</v>
      </c>
    </row>
    <row r="395" spans="1:158" ht="10.5" customHeight="1" x14ac:dyDescent="0.2">
      <c r="A395" s="16">
        <v>41</v>
      </c>
      <c r="B395" s="16" t="s">
        <v>3762</v>
      </c>
      <c r="C395" s="16" t="s">
        <v>3761</v>
      </c>
      <c r="D395" s="16">
        <v>4293</v>
      </c>
      <c r="E395" s="16" t="s">
        <v>6656</v>
      </c>
      <c r="F395" s="18" t="s">
        <v>3761</v>
      </c>
      <c r="G395" s="18" t="s">
        <v>106</v>
      </c>
      <c r="H395" s="15" t="s">
        <v>5127</v>
      </c>
      <c r="I395" s="18">
        <v>10</v>
      </c>
      <c r="J395" s="18">
        <v>5</v>
      </c>
      <c r="K395" s="18">
        <v>5</v>
      </c>
      <c r="L395" s="18">
        <v>0</v>
      </c>
      <c r="M395" s="18" t="s">
        <v>5183</v>
      </c>
      <c r="N395" s="18" t="s">
        <v>6408</v>
      </c>
      <c r="O395" s="18">
        <v>47107</v>
      </c>
      <c r="T395" s="18" t="s">
        <v>111</v>
      </c>
      <c r="U395" s="18" t="s">
        <v>5250</v>
      </c>
      <c r="V395" s="18" t="s">
        <v>106</v>
      </c>
      <c r="W395" s="18" t="s">
        <v>5124</v>
      </c>
      <c r="Y395" s="18" t="s">
        <v>5232</v>
      </c>
      <c r="Z395" s="18" t="s">
        <v>106</v>
      </c>
      <c r="AA395" s="18" t="s">
        <v>5163</v>
      </c>
      <c r="AB395" s="18" t="s">
        <v>179</v>
      </c>
      <c r="AC395" s="18" t="s">
        <v>5127</v>
      </c>
      <c r="AD395" s="18" t="s">
        <v>5127</v>
      </c>
      <c r="AE395" s="18" t="s">
        <v>5127</v>
      </c>
      <c r="AF395" s="18" t="s">
        <v>5127</v>
      </c>
      <c r="AG395" s="18" t="s">
        <v>5127</v>
      </c>
      <c r="AH395" s="18" t="s">
        <v>5127</v>
      </c>
      <c r="AI395" s="18">
        <v>1</v>
      </c>
      <c r="AK395" s="18" t="s">
        <v>5164</v>
      </c>
      <c r="AN395" s="18">
        <v>0</v>
      </c>
      <c r="AO395" s="18" t="s">
        <v>5186</v>
      </c>
      <c r="AP395" s="18" t="s">
        <v>5767</v>
      </c>
      <c r="AQ395" s="18" t="s">
        <v>5311</v>
      </c>
      <c r="AR395" s="18" t="s">
        <v>5132</v>
      </c>
      <c r="AT395" s="17">
        <f>(365*D395*0.7)/1000</f>
        <v>1096.8615</v>
      </c>
      <c r="AU395" s="17">
        <f t="shared" si="22"/>
        <v>300</v>
      </c>
      <c r="AV395" s="18">
        <f>300000/1000</f>
        <v>300</v>
      </c>
      <c r="AW395" s="18">
        <v>0</v>
      </c>
      <c r="AY395" s="18" t="s">
        <v>6037</v>
      </c>
      <c r="AZ395" s="18">
        <v>0</v>
      </c>
      <c r="BA395" s="18">
        <v>0</v>
      </c>
      <c r="BB395" s="18">
        <v>0</v>
      </c>
      <c r="BD395" s="18">
        <v>0</v>
      </c>
      <c r="BE395" s="18">
        <v>0</v>
      </c>
      <c r="BG395" s="18" t="s">
        <v>5663</v>
      </c>
      <c r="BH395" s="18">
        <v>0</v>
      </c>
      <c r="BI395" s="18">
        <v>0</v>
      </c>
      <c r="BQ395" s="18">
        <f>60000/1000</f>
        <v>60</v>
      </c>
      <c r="BR395" s="18">
        <f>50000/1000</f>
        <v>50</v>
      </c>
      <c r="BS395" s="18">
        <f>2000/1000</f>
        <v>2</v>
      </c>
      <c r="BT395" s="18">
        <f>24000/1000</f>
        <v>24</v>
      </c>
      <c r="BU395" s="18">
        <f>54000/1000</f>
        <v>54</v>
      </c>
      <c r="BV395" s="18">
        <f>SUM(BQ395:BU395)</f>
        <v>190</v>
      </c>
      <c r="BW395" s="15">
        <f t="shared" si="23"/>
        <v>190</v>
      </c>
      <c r="BY395" s="18" t="s">
        <v>5134</v>
      </c>
      <c r="BZ395" s="18" t="s">
        <v>5312</v>
      </c>
      <c r="CD395" s="18" t="s">
        <v>5127</v>
      </c>
      <c r="CE395" s="18" t="s">
        <v>111</v>
      </c>
      <c r="CF395" s="18" t="s">
        <v>5529</v>
      </c>
      <c r="CG395" s="18" t="s">
        <v>6409</v>
      </c>
      <c r="CH395" s="18" t="s">
        <v>5241</v>
      </c>
      <c r="CI395" s="18" t="s">
        <v>5138</v>
      </c>
      <c r="CJ395" s="18" t="s">
        <v>5196</v>
      </c>
      <c r="CK395" s="18" t="s">
        <v>5197</v>
      </c>
      <c r="CL395" s="18">
        <v>0</v>
      </c>
      <c r="CM395" s="18">
        <v>1</v>
      </c>
      <c r="CN395" s="18">
        <v>0</v>
      </c>
      <c r="CO395" s="18">
        <v>1</v>
      </c>
      <c r="CP395" s="18">
        <v>3</v>
      </c>
      <c r="CQ395" s="18">
        <v>1</v>
      </c>
      <c r="CR395" s="18">
        <v>0</v>
      </c>
      <c r="CS395" s="18" t="s">
        <v>5141</v>
      </c>
      <c r="CT395" s="18">
        <v>1</v>
      </c>
      <c r="CU395" s="18">
        <v>1</v>
      </c>
      <c r="CV395" s="18" t="s">
        <v>5141</v>
      </c>
      <c r="CX395" s="18">
        <v>0</v>
      </c>
      <c r="CY395" s="18">
        <v>1</v>
      </c>
      <c r="CZ395" s="18">
        <v>1</v>
      </c>
      <c r="DA395" s="18">
        <v>1</v>
      </c>
      <c r="DB395" s="18">
        <v>1</v>
      </c>
      <c r="DC395" s="18">
        <v>1</v>
      </c>
      <c r="DD395" s="18">
        <v>0</v>
      </c>
      <c r="DE395" s="18">
        <v>1</v>
      </c>
      <c r="DF395" s="18">
        <v>0</v>
      </c>
      <c r="DG395" s="18">
        <v>0</v>
      </c>
      <c r="DH395" s="18">
        <v>0</v>
      </c>
      <c r="DI395" s="18">
        <v>3</v>
      </c>
      <c r="DK395" s="18">
        <v>0</v>
      </c>
      <c r="DL395" s="18">
        <v>1</v>
      </c>
      <c r="DM395" s="18" t="s">
        <v>5127</v>
      </c>
      <c r="DN395" s="18" t="s">
        <v>5172</v>
      </c>
      <c r="DO395" s="18" t="s">
        <v>5705</v>
      </c>
      <c r="DP395" s="18" t="s">
        <v>113</v>
      </c>
      <c r="DQ395" s="18" t="s">
        <v>5132</v>
      </c>
      <c r="DS395" s="18">
        <v>0</v>
      </c>
      <c r="DT395" s="18">
        <v>1</v>
      </c>
      <c r="DU395" s="18">
        <v>1</v>
      </c>
      <c r="DV395" s="18" t="s">
        <v>5342</v>
      </c>
      <c r="DX395" s="18" t="s">
        <v>5201</v>
      </c>
      <c r="DY395" s="18" t="s">
        <v>106</v>
      </c>
      <c r="DZ395" s="18" t="s">
        <v>113</v>
      </c>
      <c r="EA395" s="18" t="s">
        <v>5285</v>
      </c>
      <c r="EB395" s="18">
        <v>210000</v>
      </c>
      <c r="EC395" s="18" t="s">
        <v>106</v>
      </c>
      <c r="ED395" s="18" t="s">
        <v>5147</v>
      </c>
      <c r="EE395" s="18" t="s">
        <v>113</v>
      </c>
      <c r="EF395" s="18" t="s">
        <v>113</v>
      </c>
      <c r="EG395" s="18" t="s">
        <v>5148</v>
      </c>
      <c r="EH395" s="18" t="s">
        <v>5203</v>
      </c>
      <c r="EI395" s="18" t="s">
        <v>5150</v>
      </c>
      <c r="EJ395" s="18" t="s">
        <v>5287</v>
      </c>
      <c r="EK395" s="18" t="s">
        <v>113</v>
      </c>
      <c r="EL395" s="18" t="s">
        <v>6410</v>
      </c>
      <c r="EM395" s="18" t="s">
        <v>5514</v>
      </c>
      <c r="EN395" s="18" t="s">
        <v>106</v>
      </c>
      <c r="EO395" s="18" t="s">
        <v>113</v>
      </c>
      <c r="EP395" s="18" t="s">
        <v>113</v>
      </c>
      <c r="EQ395" s="18" t="s">
        <v>106</v>
      </c>
      <c r="ER395" s="18" t="s">
        <v>5155</v>
      </c>
      <c r="ES395" s="18" t="s">
        <v>5769</v>
      </c>
      <c r="ET395" s="18" t="s">
        <v>5154</v>
      </c>
      <c r="EU395" s="18" t="s">
        <v>5155</v>
      </c>
      <c r="EV395" s="18" t="s">
        <v>5986</v>
      </c>
      <c r="EW395" s="18" t="s">
        <v>6166</v>
      </c>
      <c r="EX395" s="18" t="s">
        <v>5158</v>
      </c>
      <c r="EY395" s="18" t="s">
        <v>164</v>
      </c>
      <c r="EZ395" s="18" t="s">
        <v>5160</v>
      </c>
      <c r="FA395" s="18" t="s">
        <v>144</v>
      </c>
      <c r="FB395" s="18" t="s">
        <v>5161</v>
      </c>
    </row>
    <row r="396" spans="1:158" ht="10.5" customHeight="1" x14ac:dyDescent="0.2">
      <c r="A396" s="16">
        <v>41</v>
      </c>
      <c r="B396" s="16" t="s">
        <v>909</v>
      </c>
      <c r="C396" s="16" t="s">
        <v>910</v>
      </c>
      <c r="D396" s="16">
        <v>3501</v>
      </c>
      <c r="E396" s="16" t="s">
        <v>6656</v>
      </c>
      <c r="H396" s="15" t="s">
        <v>6661</v>
      </c>
      <c r="AT396" s="17">
        <f>(365*D396*0.7)/1000</f>
        <v>894.50549999999998</v>
      </c>
      <c r="AU396" s="17">
        <f t="shared" si="22"/>
        <v>0</v>
      </c>
      <c r="BW396" s="15">
        <f t="shared" si="23"/>
        <v>0</v>
      </c>
    </row>
    <row r="397" spans="1:158" ht="10.5" customHeight="1" x14ac:dyDescent="0.2">
      <c r="A397" s="16">
        <v>41</v>
      </c>
      <c r="B397" s="16" t="s">
        <v>3775</v>
      </c>
      <c r="C397" s="16" t="s">
        <v>3774</v>
      </c>
      <c r="D397" s="16">
        <v>2638</v>
      </c>
      <c r="E397" s="16" t="s">
        <v>6656</v>
      </c>
      <c r="F397" s="18" t="s">
        <v>3774</v>
      </c>
      <c r="G397" s="18" t="s">
        <v>106</v>
      </c>
      <c r="H397" s="15" t="s">
        <v>5127</v>
      </c>
      <c r="I397" s="18">
        <v>4</v>
      </c>
      <c r="J397" s="18">
        <v>3</v>
      </c>
      <c r="K397" s="18">
        <v>1</v>
      </c>
      <c r="M397" s="18" t="s">
        <v>5121</v>
      </c>
      <c r="N397" s="18" t="s">
        <v>6411</v>
      </c>
      <c r="O397" s="18">
        <v>45873</v>
      </c>
      <c r="T397" s="18" t="s">
        <v>111</v>
      </c>
      <c r="U397" s="18" t="s">
        <v>5123</v>
      </c>
      <c r="V397" s="18" t="s">
        <v>113</v>
      </c>
      <c r="W397" s="18" t="s">
        <v>5211</v>
      </c>
      <c r="Y397" s="18" t="s">
        <v>5162</v>
      </c>
      <c r="Z397" s="18" t="s">
        <v>113</v>
      </c>
      <c r="AA397" s="18" t="s">
        <v>5163</v>
      </c>
      <c r="AB397" s="18" t="s">
        <v>179</v>
      </c>
      <c r="AC397" s="18" t="s">
        <v>111</v>
      </c>
      <c r="AD397" s="18" t="s">
        <v>111</v>
      </c>
      <c r="AE397" s="18" t="s">
        <v>111</v>
      </c>
      <c r="AF397" s="18" t="s">
        <v>111</v>
      </c>
      <c r="AG397" s="18" t="s">
        <v>5127</v>
      </c>
      <c r="AH397" s="18" t="s">
        <v>111</v>
      </c>
      <c r="AI397" s="18">
        <v>1</v>
      </c>
      <c r="AK397" s="18" t="s">
        <v>5164</v>
      </c>
      <c r="AN397" s="18">
        <v>0</v>
      </c>
      <c r="AO397" s="18" t="s">
        <v>5129</v>
      </c>
      <c r="AP397" s="18" t="s">
        <v>6412</v>
      </c>
      <c r="AQ397" s="18" t="s">
        <v>5252</v>
      </c>
      <c r="AR397" s="18" t="s">
        <v>5168</v>
      </c>
      <c r="AT397" s="17">
        <f>(365*D397*0.7)/1000</f>
        <v>674.00900000000001</v>
      </c>
      <c r="AU397" s="17">
        <f t="shared" si="22"/>
        <v>14.4</v>
      </c>
      <c r="AV397" s="18">
        <f>14400/1000</f>
        <v>14.4</v>
      </c>
      <c r="AW397" s="18">
        <v>0</v>
      </c>
      <c r="AY397" s="18" t="s">
        <v>164</v>
      </c>
      <c r="BG397" s="18" t="s">
        <v>5281</v>
      </c>
      <c r="BQ397" s="18">
        <v>63</v>
      </c>
      <c r="BR397" s="18">
        <v>12</v>
      </c>
      <c r="BS397" s="18">
        <v>0</v>
      </c>
      <c r="BT397" s="18">
        <v>1.488</v>
      </c>
      <c r="BU397" s="18">
        <v>16</v>
      </c>
      <c r="BV397" s="18">
        <v>94</v>
      </c>
      <c r="BW397" s="15">
        <f t="shared" si="23"/>
        <v>92.488</v>
      </c>
      <c r="BY397" s="18" t="s">
        <v>5134</v>
      </c>
      <c r="BZ397" s="18" t="s">
        <v>193</v>
      </c>
      <c r="CD397" s="18" t="s">
        <v>5127</v>
      </c>
      <c r="CE397" s="18" t="s">
        <v>111</v>
      </c>
      <c r="CF397" s="18" t="s">
        <v>5135</v>
      </c>
      <c r="CG397" s="18" t="s">
        <v>5920</v>
      </c>
      <c r="CH397" s="18" t="s">
        <v>5241</v>
      </c>
      <c r="CI397" s="18" t="s">
        <v>111</v>
      </c>
      <c r="CJ397" s="18" t="s">
        <v>5139</v>
      </c>
      <c r="CK397" s="18" t="s">
        <v>179</v>
      </c>
      <c r="CL397" s="18">
        <v>1</v>
      </c>
      <c r="CM397" s="18">
        <v>0</v>
      </c>
      <c r="CN397" s="18">
        <v>0</v>
      </c>
      <c r="CO397" s="18">
        <v>0</v>
      </c>
      <c r="CP397" s="18">
        <v>0</v>
      </c>
      <c r="CQ397" s="18">
        <v>0</v>
      </c>
      <c r="CR397" s="18">
        <v>0</v>
      </c>
      <c r="CS397" s="18" t="s">
        <v>5141</v>
      </c>
      <c r="CT397" s="18">
        <v>0</v>
      </c>
      <c r="CU397" s="18">
        <v>0</v>
      </c>
      <c r="CV397" s="18">
        <v>0</v>
      </c>
      <c r="CX397" s="18">
        <v>1</v>
      </c>
      <c r="CY397" s="18">
        <v>1</v>
      </c>
      <c r="CZ397" s="18">
        <v>1</v>
      </c>
      <c r="DA397" s="18">
        <v>1</v>
      </c>
      <c r="DB397" s="18">
        <v>1</v>
      </c>
      <c r="DC397" s="18">
        <v>1</v>
      </c>
      <c r="DD397" s="18">
        <v>1</v>
      </c>
      <c r="DE397" s="18">
        <v>1</v>
      </c>
      <c r="DF397" s="18">
        <v>1</v>
      </c>
      <c r="DG397" s="18">
        <v>1</v>
      </c>
      <c r="DH397" s="18">
        <v>1</v>
      </c>
      <c r="DI397" s="18">
        <v>1</v>
      </c>
      <c r="DK397" s="18">
        <v>0</v>
      </c>
      <c r="DL397" s="18">
        <v>1</v>
      </c>
      <c r="DM397" s="18" t="s">
        <v>5127</v>
      </c>
      <c r="DN397" s="18" t="s">
        <v>5172</v>
      </c>
      <c r="DO397" s="18" t="s">
        <v>5259</v>
      </c>
      <c r="DP397" s="18" t="s">
        <v>106</v>
      </c>
      <c r="DS397" s="18">
        <v>0</v>
      </c>
      <c r="DT397" s="18">
        <v>0</v>
      </c>
      <c r="DU397" s="18">
        <v>1</v>
      </c>
      <c r="DV397" s="18" t="s">
        <v>5342</v>
      </c>
      <c r="DX397" s="18" t="s">
        <v>5145</v>
      </c>
      <c r="DY397" s="18" t="s">
        <v>106</v>
      </c>
      <c r="DZ397" s="18" t="s">
        <v>113</v>
      </c>
      <c r="EA397" s="18" t="s">
        <v>5146</v>
      </c>
      <c r="EB397" s="18">
        <v>94</v>
      </c>
      <c r="EC397" s="18" t="s">
        <v>106</v>
      </c>
      <c r="ED397" s="18" t="s">
        <v>5176</v>
      </c>
      <c r="EE397" s="18" t="s">
        <v>113</v>
      </c>
      <c r="EF397" s="18" t="s">
        <v>113</v>
      </c>
      <c r="EG397" s="18" t="s">
        <v>5148</v>
      </c>
      <c r="EH397" s="18" t="s">
        <v>5149</v>
      </c>
      <c r="EI397" s="18" t="s">
        <v>5204</v>
      </c>
      <c r="EJ397" s="18" t="s">
        <v>5653</v>
      </c>
      <c r="EN397" s="18" t="s">
        <v>113</v>
      </c>
      <c r="EX397" s="18" t="s">
        <v>5158</v>
      </c>
      <c r="EY397" s="18" t="s">
        <v>5181</v>
      </c>
      <c r="EZ397" s="18" t="s">
        <v>5160</v>
      </c>
    </row>
    <row r="398" spans="1:158" ht="10.5" customHeight="1" x14ac:dyDescent="0.2">
      <c r="A398" s="16">
        <v>41</v>
      </c>
      <c r="B398" s="16" t="s">
        <v>3784</v>
      </c>
      <c r="C398" s="16" t="s">
        <v>3783</v>
      </c>
      <c r="D398" s="16">
        <v>19903</v>
      </c>
      <c r="E398" s="16" t="s">
        <v>6658</v>
      </c>
      <c r="F398" s="18" t="s">
        <v>3783</v>
      </c>
      <c r="G398" s="18" t="s">
        <v>106</v>
      </c>
      <c r="H398" s="15" t="s">
        <v>5127</v>
      </c>
      <c r="I398" s="18">
        <v>28</v>
      </c>
      <c r="J398" s="18">
        <v>14</v>
      </c>
      <c r="K398" s="18">
        <v>24</v>
      </c>
      <c r="L398" s="18">
        <v>0</v>
      </c>
      <c r="M398" s="18" t="s">
        <v>5183</v>
      </c>
      <c r="N398" s="18" t="s">
        <v>6413</v>
      </c>
      <c r="O398" s="18">
        <v>46300</v>
      </c>
      <c r="T398" s="18" t="s">
        <v>5501</v>
      </c>
      <c r="U398" s="18" t="s">
        <v>5185</v>
      </c>
      <c r="V398" s="18" t="s">
        <v>106</v>
      </c>
      <c r="W398" s="18" t="s">
        <v>5211</v>
      </c>
      <c r="Y398" s="18" t="s">
        <v>5162</v>
      </c>
      <c r="Z398" s="18" t="s">
        <v>106</v>
      </c>
      <c r="AA398" s="18" t="s">
        <v>5163</v>
      </c>
      <c r="AB398" s="18" t="s">
        <v>5233</v>
      </c>
      <c r="AC398" s="18" t="s">
        <v>5127</v>
      </c>
      <c r="AD398" s="18" t="s">
        <v>5127</v>
      </c>
      <c r="AE398" s="18" t="s">
        <v>111</v>
      </c>
      <c r="AF398" s="18" t="s">
        <v>111</v>
      </c>
      <c r="AG398" s="18" t="s">
        <v>5127</v>
      </c>
      <c r="AH398" s="18" t="s">
        <v>111</v>
      </c>
      <c r="AI398" s="18">
        <v>2</v>
      </c>
      <c r="AK398" s="18" t="s">
        <v>5164</v>
      </c>
      <c r="AN398" s="18">
        <v>1700</v>
      </c>
      <c r="AO398" s="18" t="s">
        <v>5186</v>
      </c>
      <c r="AP398" s="18" t="s">
        <v>6414</v>
      </c>
      <c r="AQ398" s="18" t="s">
        <v>6415</v>
      </c>
      <c r="AR398" s="18" t="s">
        <v>5168</v>
      </c>
      <c r="AT398" s="17">
        <f>(365*D398*0.7)/1000</f>
        <v>5085.2165000000005</v>
      </c>
      <c r="AU398" s="17">
        <f t="shared" si="22"/>
        <v>620</v>
      </c>
      <c r="AV398" s="18">
        <v>620</v>
      </c>
      <c r="AW398" s="18">
        <v>0</v>
      </c>
      <c r="AY398" s="18" t="s">
        <v>5237</v>
      </c>
      <c r="AZ398" s="18">
        <f>1000/1000</f>
        <v>1</v>
      </c>
      <c r="BB398" s="18">
        <v>1000</v>
      </c>
      <c r="BD398" s="18">
        <f>5000/1000</f>
        <v>5</v>
      </c>
      <c r="BG398" s="18" t="s">
        <v>5281</v>
      </c>
      <c r="BQ398" s="18">
        <v>353</v>
      </c>
      <c r="BR398" s="18">
        <v>243</v>
      </c>
      <c r="BS398" s="18">
        <v>49</v>
      </c>
      <c r="BT398" s="18">
        <v>138</v>
      </c>
      <c r="BU398" s="18">
        <v>17</v>
      </c>
      <c r="BV398" s="18">
        <v>800</v>
      </c>
      <c r="BW398" s="15">
        <f t="shared" si="23"/>
        <v>800</v>
      </c>
      <c r="BY398" s="18" t="s">
        <v>5322</v>
      </c>
      <c r="BZ398" s="18" t="s">
        <v>5192</v>
      </c>
      <c r="CD398" s="18" t="s">
        <v>5127</v>
      </c>
      <c r="CE398" s="18" t="s">
        <v>111</v>
      </c>
      <c r="CF398" s="18" t="s">
        <v>5135</v>
      </c>
      <c r="CG398" s="18" t="s">
        <v>5376</v>
      </c>
      <c r="CH398" s="18" t="s">
        <v>6416</v>
      </c>
      <c r="CI398" s="18" t="s">
        <v>111</v>
      </c>
      <c r="CJ398" s="18" t="s">
        <v>5680</v>
      </c>
      <c r="CK398" s="18" t="s">
        <v>5197</v>
      </c>
      <c r="CL398" s="18">
        <v>3</v>
      </c>
      <c r="CM398" s="18">
        <v>1</v>
      </c>
      <c r="CN398" s="18">
        <v>0</v>
      </c>
      <c r="CO398" s="18">
        <v>2</v>
      </c>
      <c r="CP398" s="18">
        <v>0</v>
      </c>
      <c r="CQ398" s="18">
        <v>2</v>
      </c>
      <c r="CR398" s="18" t="s">
        <v>5141</v>
      </c>
      <c r="CS398" s="18" t="s">
        <v>5141</v>
      </c>
      <c r="CT398" s="18">
        <v>1</v>
      </c>
      <c r="CU398" s="18">
        <v>1</v>
      </c>
      <c r="CV398" s="18">
        <v>1</v>
      </c>
      <c r="CX398" s="18">
        <v>0</v>
      </c>
      <c r="CY398" s="18">
        <v>0</v>
      </c>
      <c r="CZ398" s="18">
        <v>0</v>
      </c>
      <c r="DA398" s="18">
        <v>1</v>
      </c>
      <c r="DB398" s="18">
        <v>0</v>
      </c>
      <c r="DC398" s="18">
        <v>0</v>
      </c>
      <c r="DD398" s="18">
        <v>0</v>
      </c>
      <c r="DE398" s="18" t="s">
        <v>5141</v>
      </c>
      <c r="DF398" s="18" t="s">
        <v>5141</v>
      </c>
      <c r="DG398" s="18">
        <v>0</v>
      </c>
      <c r="DH398" s="18">
        <v>1</v>
      </c>
      <c r="DI398" s="18">
        <v>1</v>
      </c>
      <c r="DK398" s="18">
        <v>0</v>
      </c>
      <c r="DL398" s="18">
        <v>0</v>
      </c>
      <c r="DM398" s="18" t="s">
        <v>5127</v>
      </c>
      <c r="DN398" s="18" t="s">
        <v>5258</v>
      </c>
      <c r="DO398" s="18" t="s">
        <v>5411</v>
      </c>
      <c r="DP398" s="18" t="s">
        <v>113</v>
      </c>
      <c r="DS398" s="18">
        <v>0</v>
      </c>
      <c r="DT398" s="18">
        <v>1</v>
      </c>
      <c r="DU398" s="18">
        <v>1</v>
      </c>
      <c r="DV398" s="18" t="s">
        <v>5342</v>
      </c>
      <c r="DX398" s="18" t="s">
        <v>5201</v>
      </c>
      <c r="DY398" s="18" t="s">
        <v>106</v>
      </c>
      <c r="DZ398" s="18" t="s">
        <v>113</v>
      </c>
      <c r="EA398" s="18" t="s">
        <v>5261</v>
      </c>
      <c r="EB398" s="18">
        <v>1200</v>
      </c>
      <c r="EC398" s="18" t="s">
        <v>106</v>
      </c>
      <c r="ED398" s="18" t="s">
        <v>5176</v>
      </c>
      <c r="EE398" s="18" t="s">
        <v>106</v>
      </c>
      <c r="EF398" s="18" t="s">
        <v>106</v>
      </c>
      <c r="EG398" s="18" t="s">
        <v>5404</v>
      </c>
      <c r="EH398" s="18" t="s">
        <v>5203</v>
      </c>
      <c r="EI398" s="18" t="s">
        <v>5204</v>
      </c>
      <c r="EJ398" s="18" t="s">
        <v>5338</v>
      </c>
      <c r="EN398" s="18" t="s">
        <v>113</v>
      </c>
      <c r="EO398" s="18" t="s">
        <v>106</v>
      </c>
      <c r="EP398" s="18" t="s">
        <v>113</v>
      </c>
      <c r="EQ398" s="18" t="s">
        <v>106</v>
      </c>
      <c r="ER398" s="18" t="s">
        <v>5206</v>
      </c>
      <c r="ES398" s="18" t="s">
        <v>5153</v>
      </c>
      <c r="ET398" s="18" t="s">
        <v>5154</v>
      </c>
      <c r="EU398" s="18" t="s">
        <v>5155</v>
      </c>
      <c r="EV398" s="18" t="s">
        <v>179</v>
      </c>
      <c r="EW398" s="18" t="s">
        <v>5247</v>
      </c>
      <c r="EX398" s="18" t="s">
        <v>5158</v>
      </c>
      <c r="EY398" s="18" t="s">
        <v>5292</v>
      </c>
      <c r="EZ398" s="18" t="s">
        <v>5182</v>
      </c>
      <c r="FA398" s="18" t="s">
        <v>144</v>
      </c>
      <c r="FB398" s="18" t="s">
        <v>5161</v>
      </c>
    </row>
    <row r="399" spans="1:158" ht="10.5" customHeight="1" x14ac:dyDescent="0.2">
      <c r="A399" s="16">
        <v>41</v>
      </c>
      <c r="B399" s="16" t="s">
        <v>3802</v>
      </c>
      <c r="C399" s="16" t="s">
        <v>3801</v>
      </c>
      <c r="D399" s="16">
        <v>14754</v>
      </c>
      <c r="E399" s="16" t="s">
        <v>6656</v>
      </c>
      <c r="F399" s="18" t="s">
        <v>3801</v>
      </c>
      <c r="G399" s="18" t="s">
        <v>113</v>
      </c>
      <c r="H399" s="15" t="s">
        <v>111</v>
      </c>
      <c r="AT399" s="17">
        <f>(365*D399*0.7)/1000</f>
        <v>3769.6469999999995</v>
      </c>
      <c r="AU399" s="17">
        <f t="shared" si="22"/>
        <v>0</v>
      </c>
      <c r="BW399" s="15">
        <f t="shared" si="23"/>
        <v>0</v>
      </c>
    </row>
    <row r="400" spans="1:158" ht="10.5" customHeight="1" x14ac:dyDescent="0.2">
      <c r="A400" s="16">
        <v>41</v>
      </c>
      <c r="B400" s="16" t="s">
        <v>3811</v>
      </c>
      <c r="C400" s="16" t="s">
        <v>3810</v>
      </c>
      <c r="D400" s="16">
        <v>6946</v>
      </c>
      <c r="E400" s="16" t="s">
        <v>6656</v>
      </c>
      <c r="F400" s="18" t="s">
        <v>3810</v>
      </c>
      <c r="G400" s="18" t="s">
        <v>113</v>
      </c>
      <c r="H400" s="15" t="s">
        <v>111</v>
      </c>
      <c r="AT400" s="17">
        <f>(365*D400*0.7)/1000</f>
        <v>1774.703</v>
      </c>
      <c r="AU400" s="17">
        <f t="shared" si="22"/>
        <v>0</v>
      </c>
      <c r="BW400" s="15">
        <f t="shared" si="23"/>
        <v>0</v>
      </c>
    </row>
    <row r="401" spans="1:158" ht="10.5" customHeight="1" x14ac:dyDescent="0.2">
      <c r="A401" s="16">
        <v>41</v>
      </c>
      <c r="B401" s="16" t="s">
        <v>3830</v>
      </c>
      <c r="C401" s="16" t="s">
        <v>3162</v>
      </c>
      <c r="D401" s="16">
        <v>24851</v>
      </c>
      <c r="E401" s="16" t="s">
        <v>6658</v>
      </c>
      <c r="F401" s="18" t="s">
        <v>3162</v>
      </c>
      <c r="G401" s="18" t="s">
        <v>106</v>
      </c>
      <c r="H401" s="15" t="s">
        <v>5127</v>
      </c>
      <c r="I401" s="18">
        <v>9</v>
      </c>
      <c r="J401" s="18">
        <v>9</v>
      </c>
      <c r="K401" s="18">
        <v>0</v>
      </c>
      <c r="L401" s="18">
        <v>0</v>
      </c>
      <c r="M401" s="18" t="s">
        <v>5183</v>
      </c>
      <c r="N401" s="18" t="s">
        <v>1365</v>
      </c>
      <c r="T401" s="18" t="s">
        <v>6058</v>
      </c>
      <c r="U401" s="18" t="s">
        <v>5123</v>
      </c>
      <c r="V401" s="18" t="s">
        <v>106</v>
      </c>
      <c r="W401" s="18" t="s">
        <v>5124</v>
      </c>
      <c r="Y401" s="18" t="s">
        <v>5407</v>
      </c>
      <c r="Z401" s="18" t="s">
        <v>106</v>
      </c>
      <c r="AA401" s="18" t="s">
        <v>5163</v>
      </c>
      <c r="AB401" s="18" t="s">
        <v>179</v>
      </c>
      <c r="AC401" s="18" t="s">
        <v>5127</v>
      </c>
      <c r="AD401" s="18" t="s">
        <v>5127</v>
      </c>
      <c r="AE401" s="18" t="s">
        <v>5127</v>
      </c>
      <c r="AF401" s="18" t="s">
        <v>111</v>
      </c>
      <c r="AG401" s="18" t="s">
        <v>5127</v>
      </c>
      <c r="AH401" s="18" t="s">
        <v>111</v>
      </c>
      <c r="AI401" s="18">
        <v>1</v>
      </c>
      <c r="AK401" s="18" t="s">
        <v>5164</v>
      </c>
      <c r="AN401" s="18">
        <v>450</v>
      </c>
      <c r="AO401" s="18" t="s">
        <v>5186</v>
      </c>
      <c r="AP401" s="18" t="s">
        <v>6417</v>
      </c>
      <c r="AQ401" s="18" t="s">
        <v>6223</v>
      </c>
      <c r="AR401" s="18" t="s">
        <v>5168</v>
      </c>
      <c r="AT401" s="17">
        <f>(365*D401*0.7)/1000</f>
        <v>6349.4305000000004</v>
      </c>
      <c r="AU401" s="17">
        <f t="shared" si="22"/>
        <v>200</v>
      </c>
      <c r="AV401" s="18">
        <v>200</v>
      </c>
      <c r="AW401" s="18">
        <v>0</v>
      </c>
      <c r="AY401" s="18" t="s">
        <v>5601</v>
      </c>
      <c r="AZ401" s="18">
        <v>0</v>
      </c>
      <c r="BA401" s="18">
        <v>30</v>
      </c>
      <c r="BB401" s="18">
        <v>10</v>
      </c>
      <c r="BD401" s="18">
        <v>20</v>
      </c>
      <c r="BE401" s="18">
        <v>0</v>
      </c>
      <c r="BG401" s="18" t="s">
        <v>5281</v>
      </c>
      <c r="BH401" s="18">
        <v>0</v>
      </c>
      <c r="BI401" s="18">
        <v>0</v>
      </c>
      <c r="BJ401" s="18">
        <v>0</v>
      </c>
      <c r="BQ401" s="18">
        <v>100</v>
      </c>
      <c r="BR401" s="18">
        <v>80</v>
      </c>
      <c r="BS401" s="18">
        <v>40</v>
      </c>
      <c r="BT401" s="18">
        <v>40</v>
      </c>
      <c r="BU401" s="18">
        <v>0</v>
      </c>
      <c r="BV401" s="18">
        <f>SUM(BQ401:BU401)</f>
        <v>260</v>
      </c>
      <c r="BW401" s="15">
        <f t="shared" si="23"/>
        <v>260</v>
      </c>
      <c r="BY401" s="18" t="s">
        <v>5134</v>
      </c>
      <c r="BZ401" s="18" t="s">
        <v>5312</v>
      </c>
      <c r="CD401" s="18" t="s">
        <v>5127</v>
      </c>
      <c r="CE401" s="18" t="s">
        <v>111</v>
      </c>
      <c r="CF401" s="18" t="s">
        <v>5135</v>
      </c>
      <c r="CG401" s="18" t="s">
        <v>5644</v>
      </c>
      <c r="CH401" s="18" t="s">
        <v>5504</v>
      </c>
      <c r="CI401" s="18" t="s">
        <v>5195</v>
      </c>
      <c r="CJ401" s="18" t="s">
        <v>5196</v>
      </c>
      <c r="CK401" s="18" t="s">
        <v>5140</v>
      </c>
      <c r="CL401" s="18">
        <v>2</v>
      </c>
      <c r="CM401" s="18">
        <v>0</v>
      </c>
      <c r="CN401" s="18">
        <v>0</v>
      </c>
      <c r="CO401" s="18">
        <v>1</v>
      </c>
      <c r="CP401" s="18">
        <v>0</v>
      </c>
      <c r="CQ401" s="18">
        <v>1</v>
      </c>
      <c r="CR401" s="18">
        <v>0</v>
      </c>
      <c r="CS401" s="18">
        <v>2</v>
      </c>
      <c r="CT401" s="18">
        <v>1</v>
      </c>
      <c r="CU401" s="18">
        <v>1</v>
      </c>
      <c r="CV401" s="18">
        <v>2</v>
      </c>
      <c r="CX401" s="18">
        <v>0</v>
      </c>
      <c r="CY401" s="18">
        <v>1</v>
      </c>
      <c r="CZ401" s="18">
        <v>0</v>
      </c>
      <c r="DA401" s="18">
        <v>1</v>
      </c>
      <c r="DB401" s="18">
        <v>1</v>
      </c>
      <c r="DC401" s="18">
        <v>1</v>
      </c>
      <c r="DD401" s="18">
        <v>1</v>
      </c>
      <c r="DE401" s="18">
        <v>2</v>
      </c>
      <c r="DF401" s="18">
        <v>2</v>
      </c>
      <c r="DG401" s="18">
        <v>1</v>
      </c>
      <c r="DH401" s="18">
        <v>1</v>
      </c>
      <c r="DI401" s="18">
        <v>2</v>
      </c>
      <c r="DK401" s="18">
        <v>0</v>
      </c>
      <c r="DL401" s="18">
        <v>1</v>
      </c>
      <c r="DM401" s="18" t="s">
        <v>5127</v>
      </c>
      <c r="DN401" s="18" t="s">
        <v>5142</v>
      </c>
      <c r="DO401" s="18" t="s">
        <v>5705</v>
      </c>
      <c r="DP401" s="18" t="s">
        <v>113</v>
      </c>
      <c r="DS401" s="18">
        <v>0</v>
      </c>
      <c r="DT401" s="18">
        <v>1</v>
      </c>
      <c r="DU401" s="18">
        <v>0</v>
      </c>
      <c r="DV401" s="18" t="s">
        <v>5342</v>
      </c>
      <c r="DX401" s="18" t="s">
        <v>5201</v>
      </c>
      <c r="DY401" s="18" t="s">
        <v>106</v>
      </c>
      <c r="DZ401" s="18" t="s">
        <v>113</v>
      </c>
      <c r="EA401" s="18" t="s">
        <v>5202</v>
      </c>
      <c r="EB401" s="18">
        <v>250</v>
      </c>
      <c r="EC401" s="18" t="s">
        <v>106</v>
      </c>
      <c r="ED401" s="18" t="s">
        <v>5147</v>
      </c>
      <c r="EE401" s="18" t="s">
        <v>106</v>
      </c>
      <c r="EF401" s="18" t="s">
        <v>113</v>
      </c>
      <c r="EG401" s="18" t="s">
        <v>5326</v>
      </c>
      <c r="EH401" s="18" t="s">
        <v>5203</v>
      </c>
      <c r="EI401" s="18" t="s">
        <v>5204</v>
      </c>
      <c r="EJ401" s="18" t="s">
        <v>5245</v>
      </c>
      <c r="EK401" s="18" t="s">
        <v>5362</v>
      </c>
      <c r="EN401" s="18" t="s">
        <v>113</v>
      </c>
      <c r="EO401" s="18" t="s">
        <v>113</v>
      </c>
      <c r="EP401" s="18" t="s">
        <v>113</v>
      </c>
      <c r="EQ401" s="18" t="s">
        <v>113</v>
      </c>
      <c r="ER401" s="18" t="s">
        <v>5206</v>
      </c>
      <c r="ES401" s="18" t="s">
        <v>5153</v>
      </c>
      <c r="ET401" s="18" t="s">
        <v>5154</v>
      </c>
      <c r="EU401" s="18" t="s">
        <v>5155</v>
      </c>
      <c r="EV401" s="18" t="s">
        <v>5372</v>
      </c>
      <c r="EW401" s="18" t="s">
        <v>5455</v>
      </c>
      <c r="EX401" s="18" t="s">
        <v>5158</v>
      </c>
      <c r="EY401" s="18" t="s">
        <v>5229</v>
      </c>
      <c r="EZ401" s="18" t="s">
        <v>5160</v>
      </c>
      <c r="FA401" s="18" t="s">
        <v>144</v>
      </c>
      <c r="FB401" s="18" t="s">
        <v>5161</v>
      </c>
    </row>
    <row r="402" spans="1:158" ht="10.5" customHeight="1" x14ac:dyDescent="0.2">
      <c r="A402" s="16">
        <v>41</v>
      </c>
      <c r="B402" s="16" t="s">
        <v>3830</v>
      </c>
      <c r="C402" s="16" t="s">
        <v>3162</v>
      </c>
      <c r="D402" s="16">
        <v>24851</v>
      </c>
      <c r="E402" s="16" t="s">
        <v>6658</v>
      </c>
      <c r="F402" s="18" t="s">
        <v>3162</v>
      </c>
      <c r="G402" s="18" t="s">
        <v>106</v>
      </c>
      <c r="H402" s="15" t="s">
        <v>5127</v>
      </c>
      <c r="I402" s="18">
        <v>9</v>
      </c>
      <c r="J402" s="18">
        <v>9</v>
      </c>
      <c r="K402" s="18">
        <v>0</v>
      </c>
      <c r="L402" s="18">
        <v>0</v>
      </c>
      <c r="M402" s="18" t="s">
        <v>5183</v>
      </c>
      <c r="N402" s="18" t="s">
        <v>6418</v>
      </c>
      <c r="T402" s="18" t="s">
        <v>6058</v>
      </c>
      <c r="U402" s="18" t="s">
        <v>5123</v>
      </c>
      <c r="V402" s="18" t="s">
        <v>106</v>
      </c>
      <c r="W402" s="18" t="s">
        <v>5124</v>
      </c>
      <c r="Y402" s="18" t="s">
        <v>5232</v>
      </c>
      <c r="Z402" s="18" t="s">
        <v>106</v>
      </c>
      <c r="AA402" s="18" t="s">
        <v>5163</v>
      </c>
      <c r="AB402" s="18" t="s">
        <v>179</v>
      </c>
      <c r="AC402" s="18" t="s">
        <v>5127</v>
      </c>
      <c r="AD402" s="18" t="s">
        <v>5127</v>
      </c>
      <c r="AE402" s="18" t="s">
        <v>5127</v>
      </c>
      <c r="AF402" s="18" t="s">
        <v>111</v>
      </c>
      <c r="AG402" s="18" t="s">
        <v>5127</v>
      </c>
      <c r="AH402" s="18" t="s">
        <v>111</v>
      </c>
      <c r="AI402" s="18">
        <v>1</v>
      </c>
      <c r="AK402" s="18" t="s">
        <v>5164</v>
      </c>
      <c r="AN402" s="18">
        <v>300</v>
      </c>
      <c r="AO402" s="18" t="s">
        <v>5186</v>
      </c>
      <c r="AP402" s="18" t="s">
        <v>6419</v>
      </c>
      <c r="AQ402" s="18" t="s">
        <v>5486</v>
      </c>
      <c r="AR402" s="18" t="s">
        <v>5168</v>
      </c>
      <c r="AT402" s="17">
        <f>(365*D402*0.7)/1000</f>
        <v>6349.4305000000004</v>
      </c>
      <c r="AU402" s="17">
        <f t="shared" si="22"/>
        <v>180</v>
      </c>
      <c r="AV402" s="18">
        <v>180</v>
      </c>
      <c r="AW402" s="18">
        <v>0</v>
      </c>
      <c r="AY402" s="18" t="s">
        <v>6420</v>
      </c>
      <c r="BG402" s="18" t="s">
        <v>5281</v>
      </c>
      <c r="BQ402" s="18">
        <v>50</v>
      </c>
      <c r="BR402" s="18">
        <v>40</v>
      </c>
      <c r="BS402" s="18">
        <v>20</v>
      </c>
      <c r="BT402" s="18">
        <v>101</v>
      </c>
      <c r="BU402" s="18">
        <v>120</v>
      </c>
      <c r="BV402" s="18">
        <f>SUM(BQ402:BU402)</f>
        <v>331</v>
      </c>
      <c r="BW402" s="15">
        <f>SUM(BQ402:BU402)</f>
        <v>331</v>
      </c>
      <c r="BY402" s="18" t="s">
        <v>5134</v>
      </c>
      <c r="BZ402" s="18" t="s">
        <v>5395</v>
      </c>
      <c r="CD402" s="18" t="s">
        <v>5127</v>
      </c>
      <c r="CE402" s="18" t="s">
        <v>5127</v>
      </c>
      <c r="CF402" s="18" t="s">
        <v>5135</v>
      </c>
      <c r="CG402" s="18" t="s">
        <v>5644</v>
      </c>
      <c r="CH402" s="18" t="s">
        <v>5504</v>
      </c>
      <c r="CI402" s="18" t="s">
        <v>5138</v>
      </c>
      <c r="CJ402" s="18" t="s">
        <v>5196</v>
      </c>
      <c r="CK402" s="18" t="s">
        <v>5256</v>
      </c>
      <c r="CL402" s="18">
        <v>2</v>
      </c>
      <c r="CM402" s="18">
        <v>0</v>
      </c>
      <c r="CN402" s="18">
        <v>0</v>
      </c>
      <c r="CO402" s="18">
        <v>1</v>
      </c>
      <c r="CP402" s="18">
        <v>0</v>
      </c>
      <c r="CQ402" s="18">
        <v>0</v>
      </c>
      <c r="CR402" s="18">
        <v>0</v>
      </c>
      <c r="CS402" s="18">
        <v>2</v>
      </c>
      <c r="CT402" s="18">
        <v>1</v>
      </c>
      <c r="CU402" s="18">
        <v>1</v>
      </c>
      <c r="CV402" s="18">
        <v>2</v>
      </c>
      <c r="CX402" s="18">
        <v>0</v>
      </c>
      <c r="CY402" s="18">
        <v>0</v>
      </c>
      <c r="CZ402" s="18">
        <v>0</v>
      </c>
      <c r="DA402" s="18">
        <v>1</v>
      </c>
      <c r="DB402" s="18">
        <v>1</v>
      </c>
      <c r="DC402" s="18">
        <v>1</v>
      </c>
      <c r="DD402" s="18">
        <v>1</v>
      </c>
      <c r="DE402" s="18">
        <v>2</v>
      </c>
      <c r="DF402" s="18">
        <v>2</v>
      </c>
      <c r="DG402" s="18">
        <v>0</v>
      </c>
      <c r="DH402" s="18">
        <v>1</v>
      </c>
      <c r="DI402" s="18">
        <v>2</v>
      </c>
      <c r="DK402" s="18">
        <v>0</v>
      </c>
      <c r="DL402" s="18">
        <v>0</v>
      </c>
      <c r="DM402" s="18" t="s">
        <v>5127</v>
      </c>
      <c r="DN402" s="18" t="s">
        <v>5258</v>
      </c>
      <c r="DO402" s="18" t="s">
        <v>5681</v>
      </c>
      <c r="DP402" s="18" t="s">
        <v>113</v>
      </c>
      <c r="DS402" s="18">
        <v>0</v>
      </c>
      <c r="DT402" s="18">
        <v>1</v>
      </c>
      <c r="DU402" s="18">
        <v>0</v>
      </c>
      <c r="DV402" s="18" t="s">
        <v>5342</v>
      </c>
      <c r="DX402" s="18" t="s">
        <v>5201</v>
      </c>
      <c r="DY402" s="18" t="s">
        <v>106</v>
      </c>
      <c r="DZ402" s="18" t="s">
        <v>113</v>
      </c>
      <c r="EA402" s="18" t="s">
        <v>5146</v>
      </c>
      <c r="EB402" s="18">
        <v>130</v>
      </c>
      <c r="EC402" s="18" t="s">
        <v>106</v>
      </c>
      <c r="ED402" s="18" t="s">
        <v>5147</v>
      </c>
      <c r="EE402" s="18" t="s">
        <v>106</v>
      </c>
      <c r="EF402" s="18" t="s">
        <v>106</v>
      </c>
      <c r="EG402" s="18" t="s">
        <v>6421</v>
      </c>
      <c r="EH402" s="18" t="s">
        <v>5203</v>
      </c>
      <c r="EI402" s="18" t="s">
        <v>5204</v>
      </c>
      <c r="EJ402" s="18" t="s">
        <v>5245</v>
      </c>
      <c r="EK402" s="18" t="s">
        <v>113</v>
      </c>
      <c r="EN402" s="18" t="s">
        <v>113</v>
      </c>
      <c r="EO402" s="18" t="s">
        <v>113</v>
      </c>
      <c r="EP402" s="18" t="s">
        <v>113</v>
      </c>
      <c r="EQ402" s="18" t="s">
        <v>113</v>
      </c>
      <c r="ER402" s="18" t="s">
        <v>5206</v>
      </c>
      <c r="ES402" s="18" t="s">
        <v>5153</v>
      </c>
      <c r="ET402" s="18" t="s">
        <v>5154</v>
      </c>
      <c r="EU402" s="18" t="s">
        <v>5318</v>
      </c>
      <c r="EV402" s="18" t="s">
        <v>5372</v>
      </c>
      <c r="EW402" s="18" t="s">
        <v>5563</v>
      </c>
      <c r="EX402" s="18" t="s">
        <v>5158</v>
      </c>
      <c r="EY402" s="18" t="s">
        <v>5438</v>
      </c>
      <c r="EZ402" s="18" t="s">
        <v>5389</v>
      </c>
      <c r="FA402" s="18" t="s">
        <v>144</v>
      </c>
      <c r="FB402" s="18" t="s">
        <v>5161</v>
      </c>
    </row>
    <row r="403" spans="1:158" ht="10.5" customHeight="1" x14ac:dyDescent="0.2">
      <c r="A403" s="16">
        <v>41</v>
      </c>
      <c r="B403" s="16" t="s">
        <v>3841</v>
      </c>
      <c r="C403" s="16" t="s">
        <v>3840</v>
      </c>
      <c r="D403" s="16">
        <v>6543</v>
      </c>
      <c r="E403" s="16" t="s">
        <v>6656</v>
      </c>
      <c r="F403" s="18" t="s">
        <v>3840</v>
      </c>
      <c r="G403" s="18" t="s">
        <v>106</v>
      </c>
      <c r="H403" s="15" t="s">
        <v>5127</v>
      </c>
      <c r="I403" s="18" t="s">
        <v>387</v>
      </c>
      <c r="J403" s="18" t="s">
        <v>4819</v>
      </c>
      <c r="K403" s="18" t="s">
        <v>692</v>
      </c>
      <c r="L403" s="18">
        <v>0</v>
      </c>
      <c r="M403" s="18" t="s">
        <v>5183</v>
      </c>
      <c r="N403" s="18" t="s">
        <v>6422</v>
      </c>
      <c r="O403" s="18">
        <v>47061</v>
      </c>
      <c r="T403" s="18" t="s">
        <v>5546</v>
      </c>
      <c r="U403" s="18" t="s">
        <v>5123</v>
      </c>
      <c r="V403" s="18" t="s">
        <v>106</v>
      </c>
      <c r="W403" s="18" t="s">
        <v>5124</v>
      </c>
      <c r="Y403" s="18" t="s">
        <v>5232</v>
      </c>
      <c r="Z403" s="18" t="s">
        <v>106</v>
      </c>
      <c r="AA403" s="18" t="s">
        <v>5163</v>
      </c>
      <c r="AB403" s="18" t="s">
        <v>179</v>
      </c>
      <c r="AC403" s="18" t="s">
        <v>111</v>
      </c>
      <c r="AD403" s="18" t="s">
        <v>111</v>
      </c>
      <c r="AE403" s="18" t="s">
        <v>111</v>
      </c>
      <c r="AF403" s="18" t="s">
        <v>111</v>
      </c>
      <c r="AG403" s="18" t="s">
        <v>5127</v>
      </c>
      <c r="AH403" s="18" t="s">
        <v>111</v>
      </c>
      <c r="AI403" s="18">
        <v>0</v>
      </c>
      <c r="AK403" s="18" t="s">
        <v>5164</v>
      </c>
      <c r="AN403" s="18">
        <v>140</v>
      </c>
      <c r="AO403" s="18" t="s">
        <v>5294</v>
      </c>
      <c r="AP403" s="18" t="s">
        <v>6423</v>
      </c>
      <c r="AQ403" s="18" t="s">
        <v>5167</v>
      </c>
      <c r="AR403" s="18" t="s">
        <v>5132</v>
      </c>
      <c r="AT403" s="17">
        <f>(365*D403*0.7)/1000</f>
        <v>1671.7365</v>
      </c>
      <c r="AU403" s="17">
        <f t="shared" si="22"/>
        <v>15</v>
      </c>
      <c r="AV403" s="18">
        <v>15</v>
      </c>
      <c r="AW403" s="18">
        <v>0</v>
      </c>
      <c r="AY403" s="18" t="s">
        <v>5534</v>
      </c>
      <c r="AZ403" s="18">
        <v>0</v>
      </c>
      <c r="BA403" s="18">
        <v>0</v>
      </c>
      <c r="BB403" s="18">
        <v>0</v>
      </c>
      <c r="BD403" s="18">
        <v>650</v>
      </c>
      <c r="BE403" s="18">
        <v>5500</v>
      </c>
      <c r="BG403" s="18" t="s">
        <v>5375</v>
      </c>
      <c r="BQ403" s="18">
        <v>60</v>
      </c>
      <c r="BR403" s="18">
        <v>50</v>
      </c>
      <c r="BS403" s="18">
        <v>20</v>
      </c>
      <c r="BT403" s="18">
        <v>5</v>
      </c>
      <c r="BU403" s="18">
        <v>2</v>
      </c>
      <c r="BV403" s="18">
        <v>137</v>
      </c>
      <c r="BW403" s="15">
        <f t="shared" si="23"/>
        <v>137</v>
      </c>
      <c r="BY403" s="18" t="s">
        <v>5134</v>
      </c>
      <c r="BZ403" s="18" t="s">
        <v>5312</v>
      </c>
      <c r="CD403" s="18" t="s">
        <v>5127</v>
      </c>
      <c r="CE403" s="18" t="s">
        <v>5127</v>
      </c>
      <c r="CF403" s="18" t="s">
        <v>5135</v>
      </c>
      <c r="CG403" s="18" t="s">
        <v>6424</v>
      </c>
      <c r="CH403" s="18" t="s">
        <v>6425</v>
      </c>
      <c r="CI403" s="18" t="s">
        <v>111</v>
      </c>
      <c r="CJ403" s="18" t="s">
        <v>5196</v>
      </c>
      <c r="CK403" s="18" t="s">
        <v>6075</v>
      </c>
      <c r="CL403" s="18">
        <v>1</v>
      </c>
      <c r="CM403" s="18">
        <v>0</v>
      </c>
      <c r="CN403" s="18">
        <v>0</v>
      </c>
      <c r="CO403" s="18">
        <v>0</v>
      </c>
      <c r="CP403" s="18">
        <v>0</v>
      </c>
      <c r="CQ403" s="18">
        <v>0</v>
      </c>
      <c r="CR403" s="18">
        <v>0</v>
      </c>
      <c r="CS403" s="18">
        <v>4</v>
      </c>
      <c r="CT403" s="18">
        <v>0</v>
      </c>
      <c r="CU403" s="18">
        <v>0</v>
      </c>
      <c r="CV403" s="18">
        <v>0</v>
      </c>
      <c r="CX403" s="18">
        <v>1</v>
      </c>
      <c r="CY403" s="18">
        <v>1</v>
      </c>
      <c r="CZ403" s="18">
        <v>0</v>
      </c>
      <c r="DA403" s="18">
        <v>1</v>
      </c>
      <c r="DB403" s="18">
        <v>1</v>
      </c>
      <c r="DC403" s="18">
        <v>1</v>
      </c>
      <c r="DD403" s="18">
        <v>1</v>
      </c>
      <c r="DE403" s="18">
        <v>4</v>
      </c>
      <c r="DF403" s="18" t="s">
        <v>5141</v>
      </c>
      <c r="DG403" s="18">
        <v>1</v>
      </c>
      <c r="DH403" s="18">
        <v>1</v>
      </c>
      <c r="DI403" s="18">
        <v>2</v>
      </c>
      <c r="DK403" s="18">
        <v>0</v>
      </c>
      <c r="DL403" s="18">
        <v>1</v>
      </c>
      <c r="DM403" s="18" t="s">
        <v>5127</v>
      </c>
      <c r="DN403" s="18" t="s">
        <v>5172</v>
      </c>
      <c r="DO403" s="18" t="s">
        <v>5705</v>
      </c>
      <c r="DP403" s="18" t="s">
        <v>113</v>
      </c>
      <c r="DQ403" s="18" t="s">
        <v>5132</v>
      </c>
      <c r="DS403" s="18">
        <v>3</v>
      </c>
      <c r="DT403" s="18">
        <v>0</v>
      </c>
      <c r="DU403" s="18">
        <v>1</v>
      </c>
      <c r="DV403" s="18" t="s">
        <v>5342</v>
      </c>
      <c r="DX403" s="18" t="s">
        <v>5201</v>
      </c>
      <c r="DY403" s="18" t="s">
        <v>113</v>
      </c>
      <c r="DZ403" s="18" t="s">
        <v>113</v>
      </c>
      <c r="EA403" s="18" t="s">
        <v>5146</v>
      </c>
      <c r="EB403" s="18">
        <v>120</v>
      </c>
      <c r="EC403" s="18" t="s">
        <v>106</v>
      </c>
      <c r="ED403" s="18" t="s">
        <v>5176</v>
      </c>
      <c r="EE403" s="18" t="s">
        <v>113</v>
      </c>
      <c r="EF403" s="18" t="s">
        <v>113</v>
      </c>
      <c r="EG403" s="18" t="s">
        <v>5326</v>
      </c>
      <c r="EH403" s="18" t="s">
        <v>5203</v>
      </c>
      <c r="EI403" s="18" t="s">
        <v>5150</v>
      </c>
      <c r="EJ403" s="18" t="s">
        <v>5422</v>
      </c>
      <c r="EK403" s="18" t="s">
        <v>113</v>
      </c>
      <c r="EL403" s="18" t="s">
        <v>6426</v>
      </c>
      <c r="EM403" s="18" t="s">
        <v>5227</v>
      </c>
      <c r="EN403" s="18" t="s">
        <v>113</v>
      </c>
      <c r="EO403" s="18" t="s">
        <v>113</v>
      </c>
      <c r="EP403" s="18" t="s">
        <v>113</v>
      </c>
      <c r="EQ403" s="18" t="s">
        <v>113</v>
      </c>
      <c r="ER403" s="18" t="s">
        <v>5206</v>
      </c>
      <c r="ES403" s="18" t="s">
        <v>5153</v>
      </c>
      <c r="ET403" s="18" t="s">
        <v>5154</v>
      </c>
      <c r="EU403" s="18" t="s">
        <v>5155</v>
      </c>
      <c r="EV403" s="18" t="s">
        <v>6151</v>
      </c>
      <c r="EW403" s="18" t="s">
        <v>6427</v>
      </c>
      <c r="EX403" s="18" t="s">
        <v>5158</v>
      </c>
      <c r="EY403" s="18" t="s">
        <v>5229</v>
      </c>
      <c r="EZ403" s="18" t="s">
        <v>5160</v>
      </c>
      <c r="FA403" s="18" t="s">
        <v>144</v>
      </c>
      <c r="FB403" s="18" t="s">
        <v>5161</v>
      </c>
    </row>
    <row r="404" spans="1:158" ht="10.5" customHeight="1" x14ac:dyDescent="0.2">
      <c r="A404" s="16">
        <v>41</v>
      </c>
      <c r="B404" s="16" t="s">
        <v>3852</v>
      </c>
      <c r="C404" s="16" t="s">
        <v>3851</v>
      </c>
      <c r="D404" s="16">
        <v>12770</v>
      </c>
      <c r="E404" s="16" t="s">
        <v>6656</v>
      </c>
      <c r="F404" s="18" t="s">
        <v>3851</v>
      </c>
      <c r="G404" s="18" t="s">
        <v>106</v>
      </c>
      <c r="H404" s="15" t="s">
        <v>5127</v>
      </c>
      <c r="I404" s="18">
        <v>17</v>
      </c>
      <c r="J404" s="18">
        <v>8</v>
      </c>
      <c r="K404" s="18">
        <v>8</v>
      </c>
      <c r="L404" s="18">
        <v>1</v>
      </c>
      <c r="M404" s="18" t="s">
        <v>5121</v>
      </c>
      <c r="N404" s="18">
        <v>0</v>
      </c>
      <c r="T404" s="18" t="s">
        <v>5122</v>
      </c>
      <c r="U404" s="18" t="s">
        <v>5185</v>
      </c>
      <c r="V404" s="18" t="s">
        <v>106</v>
      </c>
      <c r="W404" s="18" t="s">
        <v>113</v>
      </c>
      <c r="Y404" s="18" t="s">
        <v>5232</v>
      </c>
      <c r="Z404" s="18" t="s">
        <v>106</v>
      </c>
      <c r="AA404" s="18" t="s">
        <v>5267</v>
      </c>
      <c r="AC404" s="18" t="s">
        <v>5127</v>
      </c>
      <c r="AD404" s="18" t="s">
        <v>5127</v>
      </c>
      <c r="AE404" s="18" t="s">
        <v>111</v>
      </c>
      <c r="AF404" s="18" t="s">
        <v>111</v>
      </c>
      <c r="AG404" s="18" t="s">
        <v>5127</v>
      </c>
      <c r="AH404" s="18" t="s">
        <v>111</v>
      </c>
      <c r="AI404" s="18">
        <v>1</v>
      </c>
      <c r="AK404" s="18" t="s">
        <v>5164</v>
      </c>
      <c r="AN404" s="18">
        <v>0</v>
      </c>
      <c r="AO404" s="18" t="s">
        <v>5186</v>
      </c>
      <c r="AP404" s="18" t="s">
        <v>6428</v>
      </c>
      <c r="AQ404" s="18" t="s">
        <v>5269</v>
      </c>
      <c r="AR404" s="18" t="s">
        <v>5132</v>
      </c>
      <c r="AT404" s="17">
        <f>(365*D404*0.7)/1000</f>
        <v>3262.7350000000001</v>
      </c>
      <c r="AU404" s="17">
        <f t="shared" si="22"/>
        <v>0</v>
      </c>
      <c r="AV404" s="18">
        <v>0</v>
      </c>
      <c r="AW404" s="18">
        <v>0</v>
      </c>
      <c r="AY404" s="18" t="s">
        <v>5583</v>
      </c>
      <c r="BG404" s="18" t="s">
        <v>5169</v>
      </c>
      <c r="BH404" s="18">
        <v>0</v>
      </c>
      <c r="BQ404" s="18">
        <v>54</v>
      </c>
      <c r="BR404" s="18">
        <v>30</v>
      </c>
      <c r="BS404" s="18">
        <v>24</v>
      </c>
      <c r="BT404" s="18">
        <v>7</v>
      </c>
      <c r="BU404" s="18">
        <v>0</v>
      </c>
      <c r="BV404" s="18">
        <f>SUM(BQ404:BU404)</f>
        <v>115</v>
      </c>
      <c r="BW404" s="15">
        <f t="shared" si="23"/>
        <v>115</v>
      </c>
      <c r="BY404" s="18" t="s">
        <v>5134</v>
      </c>
      <c r="BZ404" s="18" t="s">
        <v>5312</v>
      </c>
      <c r="CD404" s="18" t="s">
        <v>5127</v>
      </c>
      <c r="CE404" s="18" t="s">
        <v>111</v>
      </c>
      <c r="CF404" s="18" t="s">
        <v>5135</v>
      </c>
      <c r="CG404" s="18" t="s">
        <v>5298</v>
      </c>
      <c r="CH404" s="18" t="s">
        <v>5284</v>
      </c>
      <c r="CI404" s="18" t="s">
        <v>5138</v>
      </c>
      <c r="CJ404" s="18" t="s">
        <v>5196</v>
      </c>
      <c r="CK404" s="18" t="s">
        <v>5171</v>
      </c>
      <c r="CL404" s="18">
        <v>1</v>
      </c>
      <c r="CM404" s="18">
        <v>0</v>
      </c>
      <c r="CN404" s="18">
        <v>0</v>
      </c>
      <c r="CO404" s="18">
        <v>1</v>
      </c>
      <c r="CP404" s="18">
        <v>1</v>
      </c>
      <c r="CQ404" s="18">
        <v>1</v>
      </c>
      <c r="CR404" s="18" t="s">
        <v>5141</v>
      </c>
      <c r="CS404" s="18" t="s">
        <v>5141</v>
      </c>
      <c r="CT404" s="18">
        <v>1</v>
      </c>
      <c r="CU404" s="18">
        <v>0</v>
      </c>
      <c r="CV404" s="18">
        <v>1</v>
      </c>
      <c r="CX404" s="18">
        <v>1</v>
      </c>
      <c r="CY404" s="18">
        <v>2</v>
      </c>
      <c r="CZ404" s="18">
        <v>0</v>
      </c>
      <c r="DA404" s="18">
        <v>1</v>
      </c>
      <c r="DB404" s="18">
        <v>1</v>
      </c>
      <c r="DC404" s="18">
        <v>1</v>
      </c>
      <c r="DD404" s="18">
        <v>0</v>
      </c>
      <c r="DE404" s="18" t="s">
        <v>5141</v>
      </c>
      <c r="DF404" s="18" t="s">
        <v>5141</v>
      </c>
      <c r="DG404" s="18">
        <v>0</v>
      </c>
      <c r="DH404" s="18">
        <v>2</v>
      </c>
      <c r="DI404" s="18">
        <v>1</v>
      </c>
      <c r="DK404" s="18">
        <v>0</v>
      </c>
      <c r="DL404" s="18">
        <v>1</v>
      </c>
      <c r="DM404" s="18" t="s">
        <v>5127</v>
      </c>
      <c r="DN404" s="18" t="s">
        <v>5314</v>
      </c>
      <c r="DO404" s="18" t="s">
        <v>5411</v>
      </c>
      <c r="DP404" s="18" t="s">
        <v>106</v>
      </c>
      <c r="DQ404" s="18" t="s">
        <v>5168</v>
      </c>
      <c r="DS404" s="18">
        <v>0</v>
      </c>
      <c r="DT404" s="18">
        <v>0</v>
      </c>
      <c r="DU404" s="18">
        <v>1</v>
      </c>
      <c r="DV404" s="18" t="s">
        <v>5377</v>
      </c>
      <c r="DX404" s="18" t="s">
        <v>5222</v>
      </c>
      <c r="DY404" s="18" t="s">
        <v>106</v>
      </c>
      <c r="DZ404" s="18" t="s">
        <v>113</v>
      </c>
      <c r="EA404" s="18" t="s">
        <v>5285</v>
      </c>
      <c r="EB404" s="18">
        <v>0</v>
      </c>
      <c r="EC404" s="18" t="s">
        <v>113</v>
      </c>
      <c r="ED404" s="18" t="s">
        <v>5176</v>
      </c>
      <c r="EE404" s="18" t="s">
        <v>106</v>
      </c>
      <c r="EF404" s="18" t="s">
        <v>113</v>
      </c>
      <c r="EG404" s="18" t="s">
        <v>5404</v>
      </c>
      <c r="EH404" s="18" t="s">
        <v>5149</v>
      </c>
      <c r="EI404" s="18" t="s">
        <v>5150</v>
      </c>
      <c r="EJ404" s="18" t="s">
        <v>5422</v>
      </c>
      <c r="EK404" s="18" t="s">
        <v>113</v>
      </c>
      <c r="EM404" s="18" t="s">
        <v>6429</v>
      </c>
      <c r="EN404" s="18" t="s">
        <v>113</v>
      </c>
      <c r="EO404" s="18" t="s">
        <v>113</v>
      </c>
      <c r="EP404" s="18" t="s">
        <v>113</v>
      </c>
      <c r="EQ404" s="18" t="s">
        <v>113</v>
      </c>
      <c r="ER404" s="18" t="s">
        <v>5206</v>
      </c>
      <c r="ES404" s="18" t="s">
        <v>5153</v>
      </c>
      <c r="ET404" s="18" t="s">
        <v>5154</v>
      </c>
      <c r="EU404" s="18" t="s">
        <v>5318</v>
      </c>
      <c r="EV404" s="18" t="s">
        <v>5372</v>
      </c>
      <c r="EW404" s="18" t="s">
        <v>5291</v>
      </c>
      <c r="EX404" s="18" t="s">
        <v>5158</v>
      </c>
      <c r="EY404" s="18" t="s">
        <v>5181</v>
      </c>
      <c r="EZ404" s="18" t="s">
        <v>5182</v>
      </c>
      <c r="FA404" s="18" t="s">
        <v>144</v>
      </c>
      <c r="FB404" s="18" t="s">
        <v>5161</v>
      </c>
    </row>
    <row r="405" spans="1:158" ht="10.5" customHeight="1" x14ac:dyDescent="0.2">
      <c r="A405" s="16">
        <v>41</v>
      </c>
      <c r="B405" s="16" t="s">
        <v>3865</v>
      </c>
      <c r="C405" s="16" t="s">
        <v>3864</v>
      </c>
      <c r="D405" s="16">
        <v>13180</v>
      </c>
      <c r="E405" s="16" t="s">
        <v>6656</v>
      </c>
      <c r="F405" s="18" t="s">
        <v>3864</v>
      </c>
      <c r="G405" s="18" t="s">
        <v>106</v>
      </c>
      <c r="H405" s="15" t="s">
        <v>5127</v>
      </c>
      <c r="I405" s="18">
        <v>8</v>
      </c>
      <c r="J405" s="18">
        <v>6</v>
      </c>
      <c r="K405" s="18">
        <v>2</v>
      </c>
      <c r="M405" s="18" t="s">
        <v>5121</v>
      </c>
      <c r="N405" s="18">
        <v>0</v>
      </c>
      <c r="T405" s="18" t="s">
        <v>111</v>
      </c>
      <c r="U405" s="18" t="s">
        <v>5123</v>
      </c>
      <c r="V405" s="18" t="s">
        <v>113</v>
      </c>
      <c r="W405" s="18" t="s">
        <v>5211</v>
      </c>
      <c r="Y405" s="18" t="s">
        <v>5232</v>
      </c>
      <c r="Z405" s="18" t="s">
        <v>106</v>
      </c>
      <c r="AA405" s="18" t="s">
        <v>5267</v>
      </c>
      <c r="AC405" s="18" t="s">
        <v>5127</v>
      </c>
      <c r="AD405" s="18" t="s">
        <v>5127</v>
      </c>
      <c r="AE405" s="18" t="s">
        <v>5127</v>
      </c>
      <c r="AF405" s="18" t="s">
        <v>111</v>
      </c>
      <c r="AG405" s="18" t="s">
        <v>5127</v>
      </c>
      <c r="AH405" s="18" t="s">
        <v>111</v>
      </c>
      <c r="AI405" s="18">
        <v>0</v>
      </c>
      <c r="AK405" s="18" t="s">
        <v>5164</v>
      </c>
      <c r="AN405" s="18">
        <v>0</v>
      </c>
      <c r="AO405" s="18" t="s">
        <v>5129</v>
      </c>
      <c r="AP405" s="18" t="s">
        <v>6430</v>
      </c>
      <c r="AQ405" s="18" t="s">
        <v>5252</v>
      </c>
      <c r="AR405" s="18" t="s">
        <v>5168</v>
      </c>
      <c r="AT405" s="17">
        <f>(365*D405*0.7)/1000</f>
        <v>3367.49</v>
      </c>
      <c r="AU405" s="17">
        <f t="shared" si="22"/>
        <v>0</v>
      </c>
      <c r="AV405" s="18">
        <v>0</v>
      </c>
      <c r="AW405" s="18">
        <v>0</v>
      </c>
      <c r="AY405" s="18" t="s">
        <v>164</v>
      </c>
      <c r="AZ405" s="18">
        <v>0</v>
      </c>
      <c r="BA405" s="18">
        <v>0</v>
      </c>
      <c r="BB405" s="18">
        <v>0</v>
      </c>
      <c r="BD405" s="18">
        <v>0</v>
      </c>
      <c r="BE405" s="18">
        <v>0</v>
      </c>
      <c r="BG405" s="18" t="s">
        <v>164</v>
      </c>
      <c r="BH405" s="18">
        <v>0</v>
      </c>
      <c r="BI405" s="18">
        <v>0</v>
      </c>
      <c r="BJ405" s="18">
        <v>0</v>
      </c>
      <c r="BQ405" s="18">
        <v>0</v>
      </c>
      <c r="BR405" s="18">
        <v>0</v>
      </c>
      <c r="BS405" s="18">
        <v>0</v>
      </c>
      <c r="BT405" s="18">
        <v>0</v>
      </c>
      <c r="BU405" s="18">
        <v>0</v>
      </c>
      <c r="BV405" s="18">
        <v>0</v>
      </c>
      <c r="BW405" s="15">
        <f t="shared" si="23"/>
        <v>0</v>
      </c>
      <c r="BY405" s="18" t="s">
        <v>5239</v>
      </c>
      <c r="BZ405" s="18" t="s">
        <v>193</v>
      </c>
      <c r="CD405" s="18" t="s">
        <v>5127</v>
      </c>
      <c r="CE405" s="18" t="s">
        <v>111</v>
      </c>
      <c r="CF405" s="18" t="s">
        <v>5135</v>
      </c>
      <c r="CG405" s="18" t="s">
        <v>6171</v>
      </c>
      <c r="CH405" s="18" t="s">
        <v>5241</v>
      </c>
      <c r="CI405" s="18" t="s">
        <v>111</v>
      </c>
      <c r="CJ405" s="18" t="s">
        <v>5139</v>
      </c>
      <c r="CK405" s="18" t="s">
        <v>5256</v>
      </c>
      <c r="CL405" s="18">
        <v>1</v>
      </c>
      <c r="CM405" s="18">
        <v>0</v>
      </c>
      <c r="CN405" s="18">
        <v>0</v>
      </c>
      <c r="CO405" s="18">
        <v>1</v>
      </c>
      <c r="CP405" s="18">
        <v>0</v>
      </c>
      <c r="CQ405" s="18">
        <v>1</v>
      </c>
      <c r="CR405" s="18">
        <v>0</v>
      </c>
      <c r="CS405" s="18" t="s">
        <v>5141</v>
      </c>
      <c r="CT405" s="18">
        <v>0</v>
      </c>
      <c r="CU405" s="18">
        <v>0</v>
      </c>
      <c r="CV405" s="18">
        <v>1</v>
      </c>
      <c r="CX405" s="18">
        <v>1</v>
      </c>
      <c r="CY405" s="18">
        <v>1</v>
      </c>
      <c r="CZ405" s="18">
        <v>1</v>
      </c>
      <c r="DA405" s="18">
        <v>1</v>
      </c>
      <c r="DB405" s="18">
        <v>1</v>
      </c>
      <c r="DC405" s="18">
        <v>1</v>
      </c>
      <c r="DD405" s="18">
        <v>1</v>
      </c>
      <c r="DE405" s="18">
        <v>1</v>
      </c>
      <c r="DF405" s="18" t="s">
        <v>5141</v>
      </c>
      <c r="DG405" s="18">
        <v>1</v>
      </c>
      <c r="DH405" s="18">
        <v>1</v>
      </c>
      <c r="DI405" s="18">
        <v>1</v>
      </c>
      <c r="DK405" s="18">
        <v>0</v>
      </c>
      <c r="DL405" s="18">
        <v>1</v>
      </c>
      <c r="DM405" s="18" t="s">
        <v>5127</v>
      </c>
      <c r="DN405" s="18" t="s">
        <v>5172</v>
      </c>
      <c r="DO405" s="18" t="s">
        <v>5259</v>
      </c>
      <c r="DP405" s="18" t="s">
        <v>113</v>
      </c>
      <c r="DQ405" s="18" t="s">
        <v>179</v>
      </c>
      <c r="DS405" s="18">
        <v>0</v>
      </c>
      <c r="DT405" s="18">
        <v>0</v>
      </c>
      <c r="DU405" s="18">
        <v>1</v>
      </c>
      <c r="DV405" s="18" t="s">
        <v>5403</v>
      </c>
      <c r="DX405" s="18" t="s">
        <v>5145</v>
      </c>
      <c r="DY405" s="18" t="s">
        <v>113</v>
      </c>
      <c r="DZ405" s="18" t="s">
        <v>113</v>
      </c>
      <c r="EA405" s="18" t="s">
        <v>5261</v>
      </c>
      <c r="EB405" s="18">
        <v>0</v>
      </c>
      <c r="EC405" s="18" t="s">
        <v>113</v>
      </c>
      <c r="ED405" s="18" t="s">
        <v>5147</v>
      </c>
      <c r="EE405" s="18" t="s">
        <v>113</v>
      </c>
      <c r="EF405" s="18" t="s">
        <v>113</v>
      </c>
      <c r="EG405" s="18" t="s">
        <v>5970</v>
      </c>
      <c r="EH405" s="18" t="s">
        <v>5203</v>
      </c>
      <c r="EI405" s="18" t="s">
        <v>5204</v>
      </c>
      <c r="EJ405" s="18" t="s">
        <v>5412</v>
      </c>
      <c r="EK405" s="18" t="s">
        <v>113</v>
      </c>
      <c r="EN405" s="18" t="s">
        <v>113</v>
      </c>
      <c r="EO405" s="18" t="s">
        <v>113</v>
      </c>
      <c r="EP405" s="18" t="s">
        <v>113</v>
      </c>
      <c r="EQ405" s="18" t="s">
        <v>113</v>
      </c>
      <c r="ER405" s="18" t="s">
        <v>5152</v>
      </c>
      <c r="ES405" s="18" t="s">
        <v>5153</v>
      </c>
      <c r="ET405" s="18" t="s">
        <v>5154</v>
      </c>
      <c r="EU405" s="18" t="s">
        <v>5318</v>
      </c>
      <c r="EV405" s="18" t="s">
        <v>6431</v>
      </c>
      <c r="EW405" s="18" t="s">
        <v>5563</v>
      </c>
      <c r="EX405" s="18" t="s">
        <v>5158</v>
      </c>
      <c r="EY405" s="18" t="s">
        <v>5181</v>
      </c>
      <c r="EZ405" s="18" t="s">
        <v>5160</v>
      </c>
      <c r="FA405" s="18" t="s">
        <v>144</v>
      </c>
      <c r="FB405" s="18" t="s">
        <v>5161</v>
      </c>
    </row>
    <row r="406" spans="1:158" ht="10.5" customHeight="1" x14ac:dyDescent="0.2">
      <c r="A406" s="16">
        <v>41</v>
      </c>
      <c r="B406" s="16" t="s">
        <v>3308</v>
      </c>
      <c r="C406" s="16" t="s">
        <v>3309</v>
      </c>
      <c r="D406" s="16">
        <v>14214</v>
      </c>
      <c r="E406" s="16" t="s">
        <v>6656</v>
      </c>
      <c r="H406" s="15" t="s">
        <v>6661</v>
      </c>
      <c r="AT406" s="17">
        <f>(365*D406*0.7)/1000</f>
        <v>3631.6770000000001</v>
      </c>
      <c r="AU406" s="17">
        <f t="shared" si="22"/>
        <v>0</v>
      </c>
      <c r="BW406" s="15">
        <f t="shared" si="23"/>
        <v>0</v>
      </c>
    </row>
    <row r="407" spans="1:158" ht="10.5" customHeight="1" x14ac:dyDescent="0.2">
      <c r="A407" s="16">
        <v>41</v>
      </c>
      <c r="B407" s="16" t="s">
        <v>3873</v>
      </c>
      <c r="C407" s="16" t="s">
        <v>3872</v>
      </c>
      <c r="D407" s="16">
        <v>3223</v>
      </c>
      <c r="E407" s="16" t="s">
        <v>6656</v>
      </c>
      <c r="F407" s="18" t="s">
        <v>3872</v>
      </c>
      <c r="G407" s="18" t="s">
        <v>106</v>
      </c>
      <c r="H407" s="15" t="s">
        <v>5127</v>
      </c>
      <c r="I407" s="18">
        <v>3</v>
      </c>
      <c r="J407" s="18">
        <v>1</v>
      </c>
      <c r="K407" s="18">
        <v>2</v>
      </c>
      <c r="L407" s="18">
        <v>1</v>
      </c>
      <c r="M407" s="18" t="s">
        <v>5183</v>
      </c>
      <c r="N407" s="18" t="s">
        <v>1365</v>
      </c>
      <c r="T407" s="18" t="s">
        <v>111</v>
      </c>
      <c r="U407" s="18" t="s">
        <v>5250</v>
      </c>
      <c r="V407" s="18" t="s">
        <v>113</v>
      </c>
      <c r="W407" s="18" t="s">
        <v>5124</v>
      </c>
      <c r="Y407" s="18" t="s">
        <v>5232</v>
      </c>
      <c r="Z407" s="18" t="s">
        <v>113</v>
      </c>
      <c r="AA407" s="18" t="s">
        <v>5163</v>
      </c>
      <c r="AB407" s="18" t="s">
        <v>179</v>
      </c>
      <c r="AC407" s="18" t="s">
        <v>111</v>
      </c>
      <c r="AD407" s="18" t="s">
        <v>111</v>
      </c>
      <c r="AE407" s="18" t="s">
        <v>111</v>
      </c>
      <c r="AF407" s="18" t="s">
        <v>111</v>
      </c>
      <c r="AG407" s="18" t="s">
        <v>5127</v>
      </c>
      <c r="AH407" s="18" t="s">
        <v>111</v>
      </c>
      <c r="AI407" s="18">
        <v>0</v>
      </c>
      <c r="AK407" s="18" t="s">
        <v>5164</v>
      </c>
      <c r="AN407" s="18">
        <v>70</v>
      </c>
      <c r="AO407" s="18" t="s">
        <v>5391</v>
      </c>
      <c r="AP407" s="18" t="s">
        <v>6432</v>
      </c>
      <c r="AQ407" s="18" t="s">
        <v>5711</v>
      </c>
      <c r="AR407" s="18" t="s">
        <v>5168</v>
      </c>
      <c r="AT407" s="17">
        <f>(365*D407*0.7)/1000</f>
        <v>823.47649999999999</v>
      </c>
      <c r="AU407" s="17">
        <f t="shared" si="22"/>
        <v>0.505</v>
      </c>
      <c r="AV407" s="18">
        <v>0.505</v>
      </c>
      <c r="AW407" s="18">
        <v>0</v>
      </c>
      <c r="AY407" s="18" t="s">
        <v>5473</v>
      </c>
      <c r="BG407" s="18" t="s">
        <v>5169</v>
      </c>
      <c r="BQ407" s="18">
        <v>35</v>
      </c>
      <c r="BR407" s="18">
        <v>19</v>
      </c>
      <c r="BS407" s="18">
        <v>5</v>
      </c>
      <c r="BT407" s="18" t="s">
        <v>6433</v>
      </c>
      <c r="BU407" s="18">
        <v>7</v>
      </c>
      <c r="BV407" s="18">
        <v>66</v>
      </c>
      <c r="BW407" s="15">
        <f t="shared" si="23"/>
        <v>66</v>
      </c>
      <c r="BY407" s="18" t="s">
        <v>5134</v>
      </c>
      <c r="BZ407" s="18" t="s">
        <v>5712</v>
      </c>
      <c r="CD407" s="18" t="s">
        <v>5127</v>
      </c>
      <c r="CE407" s="18" t="s">
        <v>5127</v>
      </c>
      <c r="CF407" s="18" t="s">
        <v>5135</v>
      </c>
      <c r="CG407" s="18" t="s">
        <v>6434</v>
      </c>
      <c r="CH407" s="18" t="s">
        <v>111</v>
      </c>
      <c r="CI407" s="18" t="s">
        <v>5138</v>
      </c>
      <c r="CJ407" s="18" t="s">
        <v>5139</v>
      </c>
      <c r="CK407" s="18" t="s">
        <v>179</v>
      </c>
      <c r="CL407" s="18">
        <v>1</v>
      </c>
      <c r="CM407" s="18">
        <v>0</v>
      </c>
      <c r="CN407" s="18">
        <v>0</v>
      </c>
      <c r="CO407" s="18">
        <v>1</v>
      </c>
      <c r="CP407" s="18">
        <v>1</v>
      </c>
      <c r="CQ407" s="18">
        <v>0</v>
      </c>
      <c r="CR407" s="18">
        <v>0</v>
      </c>
      <c r="CS407" s="18">
        <v>1</v>
      </c>
      <c r="CT407" s="18">
        <v>0</v>
      </c>
      <c r="CU407" s="18">
        <v>0</v>
      </c>
      <c r="CV407" s="18">
        <v>0</v>
      </c>
      <c r="CX407" s="18">
        <v>1</v>
      </c>
      <c r="CY407" s="18">
        <v>1</v>
      </c>
      <c r="CZ407" s="18">
        <v>0</v>
      </c>
      <c r="DA407" s="18">
        <v>1</v>
      </c>
      <c r="DB407" s="18">
        <v>1</v>
      </c>
      <c r="DC407" s="18">
        <v>0</v>
      </c>
      <c r="DD407" s="18">
        <v>1</v>
      </c>
      <c r="DE407" s="18">
        <v>1</v>
      </c>
      <c r="DF407" s="18">
        <v>1</v>
      </c>
      <c r="DG407" s="18">
        <v>1</v>
      </c>
      <c r="DH407" s="18">
        <v>1</v>
      </c>
      <c r="DI407" s="18">
        <v>1</v>
      </c>
      <c r="DK407" s="18">
        <v>0</v>
      </c>
      <c r="DL407" s="18">
        <v>0</v>
      </c>
      <c r="DM407" s="18" t="s">
        <v>5127</v>
      </c>
      <c r="DN407" s="18" t="s">
        <v>5172</v>
      </c>
      <c r="DO407" s="18" t="s">
        <v>5143</v>
      </c>
      <c r="DP407" s="18" t="s">
        <v>113</v>
      </c>
      <c r="DQ407" s="18" t="s">
        <v>5168</v>
      </c>
      <c r="DS407" s="18">
        <v>0</v>
      </c>
      <c r="DT407" s="18">
        <v>0</v>
      </c>
      <c r="DU407" s="18">
        <v>1</v>
      </c>
      <c r="DV407" s="18" t="s">
        <v>5513</v>
      </c>
      <c r="DX407" s="18" t="s">
        <v>5145</v>
      </c>
      <c r="DY407" s="18" t="s">
        <v>106</v>
      </c>
      <c r="DZ407" s="18" t="s">
        <v>106</v>
      </c>
      <c r="EA407" s="18" t="s">
        <v>5285</v>
      </c>
      <c r="EB407" s="18">
        <v>66</v>
      </c>
      <c r="EC407" s="18" t="s">
        <v>113</v>
      </c>
      <c r="ED407" s="18" t="s">
        <v>5147</v>
      </c>
      <c r="EE407" s="18" t="s">
        <v>106</v>
      </c>
      <c r="EF407" s="18" t="s">
        <v>113</v>
      </c>
      <c r="EG407" s="18" t="s">
        <v>5326</v>
      </c>
      <c r="EH407" s="18" t="s">
        <v>5203</v>
      </c>
      <c r="EI407" s="18" t="s">
        <v>5204</v>
      </c>
      <c r="EJ407" s="18" t="s">
        <v>5912</v>
      </c>
      <c r="EK407" s="18" t="s">
        <v>113</v>
      </c>
      <c r="EL407" s="18" t="s">
        <v>6435</v>
      </c>
      <c r="EM407" s="18" t="s">
        <v>5274</v>
      </c>
      <c r="EN407" s="18" t="s">
        <v>113</v>
      </c>
      <c r="EO407" s="18" t="s">
        <v>113</v>
      </c>
      <c r="EP407" s="18" t="s">
        <v>113</v>
      </c>
      <c r="EQ407" s="18" t="s">
        <v>113</v>
      </c>
      <c r="ER407" s="18" t="s">
        <v>5155</v>
      </c>
      <c r="ES407" s="18" t="s">
        <v>5447</v>
      </c>
      <c r="ET407" s="18" t="s">
        <v>5154</v>
      </c>
      <c r="EU407" s="18" t="s">
        <v>5155</v>
      </c>
      <c r="EV407" s="18" t="s">
        <v>5246</v>
      </c>
      <c r="EW407" s="18" t="s">
        <v>5563</v>
      </c>
      <c r="EX407" s="18" t="s">
        <v>5307</v>
      </c>
      <c r="EY407" s="18" t="s">
        <v>5229</v>
      </c>
      <c r="EZ407" s="18" t="s">
        <v>5308</v>
      </c>
      <c r="FA407" s="18" t="s">
        <v>144</v>
      </c>
      <c r="FB407" s="18" t="s">
        <v>5161</v>
      </c>
    </row>
    <row r="408" spans="1:158" ht="10.5" customHeight="1" x14ac:dyDescent="0.2">
      <c r="A408" s="16">
        <v>41</v>
      </c>
      <c r="B408" s="16" t="s">
        <v>3885</v>
      </c>
      <c r="C408" s="16" t="s">
        <v>3884</v>
      </c>
      <c r="D408" s="16">
        <v>14234</v>
      </c>
      <c r="E408" s="16" t="s">
        <v>6656</v>
      </c>
      <c r="F408" s="18" t="s">
        <v>3884</v>
      </c>
      <c r="G408" s="18" t="s">
        <v>113</v>
      </c>
      <c r="H408" s="15" t="s">
        <v>111</v>
      </c>
      <c r="AT408" s="17">
        <f>(365*D408*0.7)/1000</f>
        <v>3636.7869999999998</v>
      </c>
      <c r="AU408" s="17">
        <f t="shared" si="22"/>
        <v>0</v>
      </c>
      <c r="BW408" s="15">
        <f t="shared" si="23"/>
        <v>0</v>
      </c>
    </row>
    <row r="409" spans="1:158" ht="10.5" customHeight="1" x14ac:dyDescent="0.2">
      <c r="A409" s="16">
        <v>41</v>
      </c>
      <c r="B409" s="16" t="s">
        <v>3902</v>
      </c>
      <c r="C409" s="16" t="s">
        <v>3901</v>
      </c>
      <c r="D409" s="16">
        <v>3850</v>
      </c>
      <c r="E409" s="16" t="s">
        <v>6656</v>
      </c>
      <c r="F409" s="18" t="s">
        <v>3901</v>
      </c>
      <c r="G409" s="18" t="s">
        <v>106</v>
      </c>
      <c r="H409" s="15" t="s">
        <v>5127</v>
      </c>
      <c r="I409" s="18" t="s">
        <v>2511</v>
      </c>
      <c r="J409" s="18" t="s">
        <v>4819</v>
      </c>
      <c r="K409" s="18" t="s">
        <v>5330</v>
      </c>
      <c r="L409" s="18">
        <v>0</v>
      </c>
      <c r="M409" s="18" t="s">
        <v>5183</v>
      </c>
      <c r="N409" s="18">
        <v>317787</v>
      </c>
      <c r="O409" s="18">
        <v>47569</v>
      </c>
      <c r="T409" s="18" t="s">
        <v>111</v>
      </c>
      <c r="U409" s="18" t="s">
        <v>5250</v>
      </c>
      <c r="V409" s="18" t="s">
        <v>113</v>
      </c>
      <c r="W409" s="18" t="s">
        <v>5124</v>
      </c>
      <c r="Y409" s="18" t="s">
        <v>6051</v>
      </c>
      <c r="Z409" s="18" t="s">
        <v>113</v>
      </c>
      <c r="AA409" s="18" t="s">
        <v>5163</v>
      </c>
      <c r="AB409" s="18" t="s">
        <v>179</v>
      </c>
      <c r="AC409" s="18" t="s">
        <v>111</v>
      </c>
      <c r="AD409" s="18" t="s">
        <v>5127</v>
      </c>
      <c r="AE409" s="18" t="s">
        <v>111</v>
      </c>
      <c r="AF409" s="18" t="s">
        <v>111</v>
      </c>
      <c r="AG409" s="18" t="s">
        <v>5127</v>
      </c>
      <c r="AH409" s="18" t="s">
        <v>111</v>
      </c>
      <c r="AI409" s="18">
        <v>1</v>
      </c>
      <c r="AK409" s="18" t="s">
        <v>5164</v>
      </c>
      <c r="AN409" s="18">
        <v>5800</v>
      </c>
      <c r="AO409" s="18" t="s">
        <v>5391</v>
      </c>
      <c r="AP409" s="18" t="s">
        <v>6436</v>
      </c>
      <c r="AQ409" s="18" t="s">
        <v>5311</v>
      </c>
      <c r="AR409" s="18" t="s">
        <v>179</v>
      </c>
      <c r="AT409" s="17">
        <f>(365*D409*0.7)/1000</f>
        <v>983.67499999999984</v>
      </c>
      <c r="AU409" s="17">
        <f t="shared" si="22"/>
        <v>0</v>
      </c>
      <c r="AV409" s="18">
        <v>0</v>
      </c>
      <c r="AW409" s="18">
        <v>0</v>
      </c>
      <c r="AY409" s="18" t="s">
        <v>5334</v>
      </c>
      <c r="BG409" s="18" t="s">
        <v>164</v>
      </c>
      <c r="BQ409" s="18">
        <v>0</v>
      </c>
      <c r="BR409" s="18">
        <v>0</v>
      </c>
      <c r="BS409" s="18">
        <v>0</v>
      </c>
      <c r="BT409" s="18">
        <v>0</v>
      </c>
      <c r="BU409" s="18">
        <v>0</v>
      </c>
      <c r="BV409" s="18">
        <v>0</v>
      </c>
      <c r="BW409" s="15">
        <f t="shared" si="23"/>
        <v>0</v>
      </c>
      <c r="BY409" s="18" t="s">
        <v>5134</v>
      </c>
      <c r="BZ409" s="18" t="s">
        <v>193</v>
      </c>
      <c r="CD409" s="18" t="s">
        <v>5127</v>
      </c>
      <c r="CE409" s="18" t="s">
        <v>5127</v>
      </c>
      <c r="CF409" s="18" t="s">
        <v>5135</v>
      </c>
      <c r="CG409" s="18" t="s">
        <v>5715</v>
      </c>
      <c r="CH409" s="18" t="s">
        <v>5241</v>
      </c>
      <c r="CI409" s="18" t="s">
        <v>5195</v>
      </c>
      <c r="CJ409" s="18" t="s">
        <v>5196</v>
      </c>
      <c r="CK409" s="18" t="s">
        <v>5171</v>
      </c>
      <c r="CL409" s="18">
        <v>1</v>
      </c>
      <c r="CM409" s="18">
        <v>0</v>
      </c>
      <c r="CN409" s="18">
        <v>0</v>
      </c>
      <c r="CO409" s="18">
        <v>1</v>
      </c>
      <c r="CP409" s="18">
        <v>0</v>
      </c>
      <c r="CQ409" s="18">
        <v>0</v>
      </c>
      <c r="CR409" s="18">
        <v>0</v>
      </c>
      <c r="CS409" s="18">
        <v>2</v>
      </c>
      <c r="CT409" s="18">
        <v>0</v>
      </c>
      <c r="CU409" s="18">
        <v>0</v>
      </c>
      <c r="CV409" s="18">
        <v>0</v>
      </c>
      <c r="CX409" s="18">
        <v>1</v>
      </c>
      <c r="CY409" s="18">
        <v>1</v>
      </c>
      <c r="CZ409" s="18">
        <v>1</v>
      </c>
      <c r="DA409" s="18">
        <v>1</v>
      </c>
      <c r="DB409" s="18">
        <v>0</v>
      </c>
      <c r="DC409" s="18">
        <v>1</v>
      </c>
      <c r="DD409" s="18">
        <v>1</v>
      </c>
      <c r="DE409" s="18">
        <v>3</v>
      </c>
      <c r="DF409" s="18" t="s">
        <v>5888</v>
      </c>
      <c r="DG409" s="18">
        <v>1</v>
      </c>
      <c r="DH409" s="18">
        <v>1</v>
      </c>
      <c r="DI409" s="18">
        <v>1</v>
      </c>
      <c r="DK409" s="18">
        <v>0</v>
      </c>
      <c r="DL409" s="18">
        <v>1</v>
      </c>
      <c r="DM409" s="18" t="s">
        <v>5127</v>
      </c>
      <c r="DN409" s="18" t="s">
        <v>5172</v>
      </c>
      <c r="DO409" s="18" t="s">
        <v>5143</v>
      </c>
      <c r="DP409" s="18" t="s">
        <v>113</v>
      </c>
      <c r="DQ409" s="18" t="s">
        <v>179</v>
      </c>
      <c r="DS409" s="18">
        <v>0</v>
      </c>
      <c r="DT409" s="18">
        <v>0</v>
      </c>
      <c r="DU409" s="18">
        <v>2</v>
      </c>
      <c r="DV409" s="18" t="s">
        <v>6437</v>
      </c>
      <c r="DX409" s="18" t="s">
        <v>5201</v>
      </c>
      <c r="DY409" s="18" t="s">
        <v>106</v>
      </c>
      <c r="DZ409" s="18" t="s">
        <v>113</v>
      </c>
      <c r="EA409" s="18" t="s">
        <v>5261</v>
      </c>
      <c r="EB409" s="18">
        <v>5800</v>
      </c>
      <c r="EC409" s="18" t="s">
        <v>106</v>
      </c>
      <c r="ED409" s="18" t="s">
        <v>5147</v>
      </c>
      <c r="EE409" s="18" t="s">
        <v>106</v>
      </c>
      <c r="EF409" s="18" t="s">
        <v>113</v>
      </c>
      <c r="EG409" s="18" t="s">
        <v>5148</v>
      </c>
      <c r="EH409" s="18" t="s">
        <v>5203</v>
      </c>
      <c r="EI409" s="18" t="s">
        <v>5204</v>
      </c>
      <c r="EJ409" s="18" t="s">
        <v>5497</v>
      </c>
      <c r="EK409" s="18" t="s">
        <v>113</v>
      </c>
      <c r="EN409" s="18" t="s">
        <v>113</v>
      </c>
      <c r="EO409" s="18" t="s">
        <v>113</v>
      </c>
      <c r="EP409" s="18" t="s">
        <v>113</v>
      </c>
      <c r="EQ409" s="18" t="s">
        <v>113</v>
      </c>
      <c r="ER409" s="18" t="s">
        <v>5289</v>
      </c>
      <c r="ES409" s="18" t="s">
        <v>5352</v>
      </c>
      <c r="ET409" s="18" t="s">
        <v>5154</v>
      </c>
      <c r="EU409" s="18" t="s">
        <v>5318</v>
      </c>
      <c r="EV409" s="18" t="s">
        <v>5372</v>
      </c>
      <c r="EW409" s="18" t="s">
        <v>5567</v>
      </c>
      <c r="EX409" s="18" t="s">
        <v>5158</v>
      </c>
      <c r="EY409" s="18" t="s">
        <v>5159</v>
      </c>
      <c r="EZ409" s="18" t="s">
        <v>5160</v>
      </c>
      <c r="FA409" s="18" t="s">
        <v>144</v>
      </c>
      <c r="FB409" s="18" t="s">
        <v>5161</v>
      </c>
    </row>
    <row r="410" spans="1:158" ht="10.5" customHeight="1" x14ac:dyDescent="0.2">
      <c r="A410" s="16">
        <v>41</v>
      </c>
      <c r="B410" s="16" t="s">
        <v>3917</v>
      </c>
      <c r="C410" s="16" t="s">
        <v>3916</v>
      </c>
      <c r="D410" s="16">
        <v>39307</v>
      </c>
      <c r="E410" s="16" t="s">
        <v>6658</v>
      </c>
      <c r="F410" s="18" t="s">
        <v>3916</v>
      </c>
      <c r="G410" s="18" t="s">
        <v>106</v>
      </c>
      <c r="H410" s="15" t="s">
        <v>5127</v>
      </c>
      <c r="I410" s="18">
        <v>17</v>
      </c>
      <c r="J410" s="18">
        <v>7</v>
      </c>
      <c r="K410" s="18">
        <v>10</v>
      </c>
      <c r="M410" s="18" t="s">
        <v>5121</v>
      </c>
      <c r="N410" s="18" t="s">
        <v>6438</v>
      </c>
      <c r="T410" s="18" t="s">
        <v>111</v>
      </c>
      <c r="U410" s="18" t="s">
        <v>5250</v>
      </c>
      <c r="V410" s="18" t="s">
        <v>106</v>
      </c>
      <c r="W410" s="18" t="s">
        <v>5124</v>
      </c>
      <c r="Y410" s="18" t="s">
        <v>5232</v>
      </c>
      <c r="Z410" s="18" t="s">
        <v>113</v>
      </c>
      <c r="AA410" s="18" t="s">
        <v>5163</v>
      </c>
      <c r="AB410" s="18" t="s">
        <v>179</v>
      </c>
      <c r="AC410" s="18" t="s">
        <v>111</v>
      </c>
      <c r="AD410" s="18" t="s">
        <v>111</v>
      </c>
      <c r="AE410" s="18" t="s">
        <v>111</v>
      </c>
      <c r="AF410" s="18" t="s">
        <v>111</v>
      </c>
      <c r="AG410" s="18" t="s">
        <v>5127</v>
      </c>
      <c r="AH410" s="18" t="s">
        <v>111</v>
      </c>
      <c r="AI410" s="18">
        <v>1</v>
      </c>
      <c r="AK410" s="18" t="s">
        <v>5164</v>
      </c>
      <c r="AN410" s="18">
        <v>0</v>
      </c>
      <c r="AO410" s="18" t="s">
        <v>5165</v>
      </c>
      <c r="AP410" s="18" t="s">
        <v>6439</v>
      </c>
      <c r="AQ410" s="18" t="s">
        <v>6440</v>
      </c>
      <c r="AR410" s="18" t="s">
        <v>5168</v>
      </c>
      <c r="AT410" s="17">
        <f>(365*D410*0.7)/1000</f>
        <v>10042.9385</v>
      </c>
      <c r="AU410" s="17">
        <f t="shared" si="22"/>
        <v>0</v>
      </c>
      <c r="AV410" s="18">
        <v>0</v>
      </c>
      <c r="AW410" s="18">
        <v>0</v>
      </c>
      <c r="AY410" s="18" t="s">
        <v>164</v>
      </c>
      <c r="BG410" s="18" t="s">
        <v>164</v>
      </c>
      <c r="BQ410" s="18">
        <v>0</v>
      </c>
      <c r="BR410" s="18">
        <v>0</v>
      </c>
      <c r="BS410" s="18">
        <v>0</v>
      </c>
      <c r="BT410" s="18">
        <v>0</v>
      </c>
      <c r="BU410" s="18">
        <v>0</v>
      </c>
      <c r="BV410" s="18">
        <v>0</v>
      </c>
      <c r="BW410" s="15">
        <f t="shared" si="23"/>
        <v>0</v>
      </c>
      <c r="BY410" s="18" t="s">
        <v>5322</v>
      </c>
      <c r="BZ410" s="18" t="s">
        <v>6441</v>
      </c>
      <c r="CD410" s="18" t="s">
        <v>5127</v>
      </c>
      <c r="CE410" s="18" t="s">
        <v>5127</v>
      </c>
      <c r="CF410" s="18" t="s">
        <v>5135</v>
      </c>
      <c r="CG410" s="18" t="s">
        <v>6442</v>
      </c>
      <c r="CH410" s="18" t="s">
        <v>5551</v>
      </c>
      <c r="CI410" s="18" t="s">
        <v>111</v>
      </c>
      <c r="CJ410" s="18" t="s">
        <v>5139</v>
      </c>
      <c r="CK410" s="18" t="s">
        <v>179</v>
      </c>
      <c r="CL410" s="18">
        <v>1</v>
      </c>
      <c r="CM410" s="18">
        <v>0</v>
      </c>
      <c r="CN410" s="18">
        <v>0</v>
      </c>
      <c r="CO410" s="18">
        <v>1</v>
      </c>
      <c r="CP410" s="18">
        <v>1</v>
      </c>
      <c r="CQ410" s="18">
        <v>1</v>
      </c>
      <c r="CR410" s="18">
        <v>0</v>
      </c>
      <c r="CS410" s="18" t="s">
        <v>5141</v>
      </c>
      <c r="CT410" s="18">
        <v>1</v>
      </c>
      <c r="CU410" s="18" t="s">
        <v>5257</v>
      </c>
      <c r="CV410" s="18">
        <v>0</v>
      </c>
      <c r="CX410" s="18">
        <v>1</v>
      </c>
      <c r="CY410" s="18">
        <v>1</v>
      </c>
      <c r="CZ410" s="18">
        <v>1</v>
      </c>
      <c r="DA410" s="18">
        <v>1</v>
      </c>
      <c r="DB410" s="18">
        <v>1</v>
      </c>
      <c r="DC410" s="18">
        <v>1</v>
      </c>
      <c r="DD410" s="18">
        <v>1</v>
      </c>
      <c r="DE410" s="18" t="s">
        <v>5141</v>
      </c>
      <c r="DF410" s="18" t="s">
        <v>5141</v>
      </c>
      <c r="DG410" s="18">
        <v>1</v>
      </c>
      <c r="DH410" s="18">
        <v>1</v>
      </c>
      <c r="DI410" s="18">
        <v>1</v>
      </c>
      <c r="DK410" s="18">
        <v>0</v>
      </c>
      <c r="DL410" s="18">
        <v>1</v>
      </c>
      <c r="DM410" s="18" t="s">
        <v>5127</v>
      </c>
      <c r="DN410" s="18" t="s">
        <v>5172</v>
      </c>
      <c r="DO410" s="18" t="s">
        <v>5411</v>
      </c>
      <c r="DP410" s="18" t="s">
        <v>113</v>
      </c>
      <c r="DQ410" s="18" t="s">
        <v>179</v>
      </c>
      <c r="DS410" s="18">
        <v>0</v>
      </c>
      <c r="DT410" s="18">
        <v>0</v>
      </c>
      <c r="DU410" s="18">
        <v>1</v>
      </c>
      <c r="DV410" s="18" t="s">
        <v>5272</v>
      </c>
      <c r="DX410" s="18" t="s">
        <v>5201</v>
      </c>
      <c r="DY410" s="18" t="s">
        <v>106</v>
      </c>
      <c r="DZ410" s="18" t="s">
        <v>106</v>
      </c>
      <c r="EA410" s="18" t="s">
        <v>5421</v>
      </c>
      <c r="EB410" s="18">
        <v>0</v>
      </c>
      <c r="EC410" s="18" t="s">
        <v>106</v>
      </c>
      <c r="ED410" s="18" t="s">
        <v>5176</v>
      </c>
      <c r="EE410" s="18" t="s">
        <v>113</v>
      </c>
      <c r="EF410" s="18" t="s">
        <v>113</v>
      </c>
      <c r="EG410" s="18" t="s">
        <v>5810</v>
      </c>
      <c r="EH410" s="18" t="s">
        <v>5203</v>
      </c>
      <c r="EI410" s="18" t="s">
        <v>5204</v>
      </c>
      <c r="EJ410" s="18" t="s">
        <v>5245</v>
      </c>
      <c r="EK410" s="18" t="s">
        <v>113</v>
      </c>
      <c r="EN410" s="18" t="s">
        <v>113</v>
      </c>
      <c r="EO410" s="18" t="s">
        <v>113</v>
      </c>
      <c r="EP410" s="18" t="s">
        <v>113</v>
      </c>
      <c r="EQ410" s="18" t="s">
        <v>106</v>
      </c>
      <c r="ER410" s="18" t="s">
        <v>5152</v>
      </c>
      <c r="ES410" s="18" t="s">
        <v>5153</v>
      </c>
      <c r="ET410" s="18" t="s">
        <v>5154</v>
      </c>
      <c r="EU410" s="18" t="s">
        <v>5155</v>
      </c>
      <c r="EV410" s="18" t="s">
        <v>5708</v>
      </c>
      <c r="EW410" s="18" t="s">
        <v>5406</v>
      </c>
      <c r="EX410" s="18" t="s">
        <v>5158</v>
      </c>
      <c r="EY410" s="18" t="s">
        <v>5248</v>
      </c>
      <c r="EZ410" s="18" t="s">
        <v>5160</v>
      </c>
      <c r="FA410" s="18" t="s">
        <v>144</v>
      </c>
      <c r="FB410" s="18" t="s">
        <v>5161</v>
      </c>
    </row>
    <row r="411" spans="1:158" ht="10.5" customHeight="1" x14ac:dyDescent="0.2">
      <c r="A411" s="16">
        <v>41</v>
      </c>
      <c r="B411" s="16" t="s">
        <v>3917</v>
      </c>
      <c r="C411" s="16" t="s">
        <v>3916</v>
      </c>
      <c r="D411" s="16">
        <v>39307</v>
      </c>
      <c r="E411" s="16" t="s">
        <v>6658</v>
      </c>
      <c r="F411" s="18" t="s">
        <v>3916</v>
      </c>
      <c r="G411" s="18" t="s">
        <v>106</v>
      </c>
      <c r="H411" s="15" t="s">
        <v>5127</v>
      </c>
      <c r="I411" s="18">
        <v>31</v>
      </c>
      <c r="J411" s="18">
        <v>11</v>
      </c>
      <c r="K411" s="18">
        <v>20</v>
      </c>
      <c r="M411" s="18" t="s">
        <v>5183</v>
      </c>
      <c r="N411" s="18">
        <v>217449600</v>
      </c>
      <c r="O411" s="18">
        <v>46113</v>
      </c>
      <c r="T411" s="18" t="s">
        <v>111</v>
      </c>
      <c r="U411" s="18" t="s">
        <v>5123</v>
      </c>
      <c r="V411" s="18" t="s">
        <v>113</v>
      </c>
      <c r="W411" s="18" t="s">
        <v>5124</v>
      </c>
      <c r="Y411" s="18" t="s">
        <v>5162</v>
      </c>
      <c r="Z411" s="18" t="s">
        <v>106</v>
      </c>
      <c r="AA411" s="18" t="s">
        <v>5163</v>
      </c>
      <c r="AB411" s="18" t="s">
        <v>179</v>
      </c>
      <c r="AC411" s="18" t="s">
        <v>5127</v>
      </c>
      <c r="AD411" s="18" t="s">
        <v>5127</v>
      </c>
      <c r="AE411" s="18" t="s">
        <v>5127</v>
      </c>
      <c r="AF411" s="18" t="s">
        <v>5127</v>
      </c>
      <c r="AG411" s="18" t="s">
        <v>5127</v>
      </c>
      <c r="AH411" s="18" t="s">
        <v>5127</v>
      </c>
      <c r="AI411" s="18">
        <v>1</v>
      </c>
      <c r="AK411" s="18" t="s">
        <v>5164</v>
      </c>
      <c r="AN411" s="18">
        <v>463</v>
      </c>
      <c r="AO411" s="18" t="s">
        <v>5165</v>
      </c>
      <c r="AP411" s="18" t="s">
        <v>6443</v>
      </c>
      <c r="AQ411" s="18" t="s">
        <v>5826</v>
      </c>
      <c r="AR411" s="18" t="s">
        <v>5168</v>
      </c>
      <c r="AT411" s="17">
        <f>(365*D411*0.7)/1000</f>
        <v>10042.9385</v>
      </c>
      <c r="AU411" s="17">
        <f t="shared" si="22"/>
        <v>0</v>
      </c>
      <c r="AV411" s="18">
        <v>0</v>
      </c>
      <c r="AW411" s="18">
        <v>0</v>
      </c>
      <c r="AY411" s="18" t="s">
        <v>6444</v>
      </c>
      <c r="BA411" s="18">
        <v>0</v>
      </c>
      <c r="BG411" s="18" t="s">
        <v>6304</v>
      </c>
      <c r="BQ411" s="18">
        <v>244</v>
      </c>
      <c r="BR411" s="18">
        <v>62</v>
      </c>
      <c r="BS411" s="18">
        <v>63</v>
      </c>
      <c r="BT411" s="18">
        <v>66</v>
      </c>
      <c r="BU411" s="18">
        <v>29</v>
      </c>
      <c r="BV411" s="18">
        <v>465</v>
      </c>
      <c r="BW411" s="15">
        <f t="shared" si="23"/>
        <v>464</v>
      </c>
      <c r="BY411" s="18" t="s">
        <v>5322</v>
      </c>
      <c r="BZ411" s="18" t="s">
        <v>5494</v>
      </c>
      <c r="CD411" s="18" t="s">
        <v>5127</v>
      </c>
      <c r="CE411" s="18" t="s">
        <v>5127</v>
      </c>
      <c r="CF411" s="18" t="s">
        <v>5135</v>
      </c>
      <c r="CG411" s="18" t="s">
        <v>5193</v>
      </c>
      <c r="CH411" s="18" t="s">
        <v>5564</v>
      </c>
      <c r="CI411" s="18" t="s">
        <v>5138</v>
      </c>
      <c r="CJ411" s="18" t="s">
        <v>5196</v>
      </c>
      <c r="CK411" s="18" t="s">
        <v>5336</v>
      </c>
      <c r="CL411" s="18">
        <v>2</v>
      </c>
      <c r="CM411" s="18">
        <v>0</v>
      </c>
      <c r="CN411" s="18">
        <v>0</v>
      </c>
      <c r="CO411" s="18">
        <v>2</v>
      </c>
      <c r="CP411" s="18">
        <v>2</v>
      </c>
      <c r="CQ411" s="18">
        <v>1</v>
      </c>
      <c r="CR411" s="18">
        <v>4</v>
      </c>
      <c r="CS411" s="18" t="s">
        <v>5141</v>
      </c>
      <c r="CT411" s="18">
        <v>2</v>
      </c>
      <c r="CU411" s="18">
        <v>2</v>
      </c>
      <c r="CV411" s="18">
        <v>0</v>
      </c>
      <c r="CX411" s="18">
        <v>1</v>
      </c>
      <c r="CY411" s="18">
        <v>1</v>
      </c>
      <c r="CZ411" s="18">
        <v>1</v>
      </c>
      <c r="DA411" s="18">
        <v>1</v>
      </c>
      <c r="DB411" s="18">
        <v>2</v>
      </c>
      <c r="DC411" s="18">
        <v>1</v>
      </c>
      <c r="DD411" s="18">
        <v>1</v>
      </c>
      <c r="DE411" s="18" t="s">
        <v>5141</v>
      </c>
      <c r="DF411" s="18" t="s">
        <v>5141</v>
      </c>
      <c r="DG411" s="18">
        <v>3</v>
      </c>
      <c r="DH411" s="18">
        <v>2</v>
      </c>
      <c r="DI411" s="18">
        <v>2</v>
      </c>
      <c r="DK411" s="18">
        <v>0</v>
      </c>
      <c r="DL411" s="18">
        <v>1</v>
      </c>
      <c r="DM411" s="18" t="s">
        <v>5127</v>
      </c>
      <c r="DN411" s="18" t="s">
        <v>5314</v>
      </c>
      <c r="DO411" s="18" t="s">
        <v>6251</v>
      </c>
      <c r="DP411" s="18" t="s">
        <v>113</v>
      </c>
      <c r="DQ411" s="18" t="s">
        <v>179</v>
      </c>
      <c r="DS411" s="18">
        <v>0</v>
      </c>
      <c r="DT411" s="18">
        <v>1</v>
      </c>
      <c r="DU411" s="18">
        <v>1</v>
      </c>
      <c r="DV411" s="18" t="s">
        <v>5174</v>
      </c>
      <c r="DX411" s="18" t="s">
        <v>5201</v>
      </c>
      <c r="DY411" s="18" t="s">
        <v>106</v>
      </c>
      <c r="DZ411" s="18" t="s">
        <v>106</v>
      </c>
      <c r="EA411" s="18" t="s">
        <v>5421</v>
      </c>
      <c r="EB411" s="18">
        <v>380</v>
      </c>
      <c r="EC411" s="18" t="s">
        <v>106</v>
      </c>
      <c r="ED411" s="18" t="s">
        <v>5176</v>
      </c>
      <c r="EE411" s="18" t="s">
        <v>113</v>
      </c>
      <c r="EF411" s="18" t="s">
        <v>113</v>
      </c>
      <c r="EG411" s="18" t="s">
        <v>5810</v>
      </c>
      <c r="EH411" s="18" t="s">
        <v>5203</v>
      </c>
      <c r="EI411" s="18" t="s">
        <v>5204</v>
      </c>
      <c r="EJ411" s="18" t="s">
        <v>5245</v>
      </c>
      <c r="EK411" s="18" t="s">
        <v>5878</v>
      </c>
      <c r="EL411" s="18" t="s">
        <v>6445</v>
      </c>
      <c r="EN411" s="18" t="s">
        <v>106</v>
      </c>
      <c r="EO411" s="18" t="s">
        <v>106</v>
      </c>
      <c r="EQ411" s="18" t="s">
        <v>106</v>
      </c>
      <c r="ER411" s="18" t="s">
        <v>5152</v>
      </c>
      <c r="ES411" s="18" t="s">
        <v>5153</v>
      </c>
      <c r="ET411" s="18" t="s">
        <v>5154</v>
      </c>
      <c r="EU411" s="18" t="s">
        <v>5155</v>
      </c>
      <c r="EV411" s="18" t="s">
        <v>5708</v>
      </c>
      <c r="EW411" s="18" t="s">
        <v>5614</v>
      </c>
      <c r="EX411" s="18" t="s">
        <v>5158</v>
      </c>
      <c r="EY411" s="18" t="s">
        <v>164</v>
      </c>
      <c r="EZ411" s="18" t="s">
        <v>5160</v>
      </c>
      <c r="FA411" s="18" t="s">
        <v>144</v>
      </c>
      <c r="FB411" s="18" t="s">
        <v>5161</v>
      </c>
    </row>
    <row r="412" spans="1:158" ht="10.5" customHeight="1" x14ac:dyDescent="0.2">
      <c r="A412" s="16">
        <v>41</v>
      </c>
      <c r="B412" s="16" t="s">
        <v>3941</v>
      </c>
      <c r="C412" s="16" t="s">
        <v>3940</v>
      </c>
      <c r="D412" s="16">
        <v>31992</v>
      </c>
      <c r="E412" s="16" t="s">
        <v>6658</v>
      </c>
      <c r="F412" s="18" t="s">
        <v>3940</v>
      </c>
      <c r="G412" s="18" t="s">
        <v>106</v>
      </c>
      <c r="H412" s="15" t="s">
        <v>5127</v>
      </c>
      <c r="I412" s="18">
        <v>14</v>
      </c>
      <c r="J412" s="18">
        <v>12</v>
      </c>
      <c r="K412" s="18">
        <v>2</v>
      </c>
      <c r="L412" s="18">
        <v>0</v>
      </c>
      <c r="M412" s="18" t="s">
        <v>5183</v>
      </c>
      <c r="N412" s="18" t="s">
        <v>6446</v>
      </c>
      <c r="T412" s="18" t="s">
        <v>111</v>
      </c>
      <c r="U412" s="18" t="s">
        <v>5250</v>
      </c>
      <c r="V412" s="18" t="s">
        <v>106</v>
      </c>
      <c r="W412" s="18" t="s">
        <v>5124</v>
      </c>
      <c r="Y412" s="18" t="s">
        <v>5656</v>
      </c>
      <c r="Z412" s="18" t="s">
        <v>106</v>
      </c>
      <c r="AA412" s="18" t="s">
        <v>5163</v>
      </c>
      <c r="AB412" s="18" t="s">
        <v>5233</v>
      </c>
      <c r="AC412" s="18" t="s">
        <v>5127</v>
      </c>
      <c r="AD412" s="18" t="s">
        <v>5127</v>
      </c>
      <c r="AE412" s="18" t="s">
        <v>5127</v>
      </c>
      <c r="AF412" s="18" t="s">
        <v>5127</v>
      </c>
      <c r="AG412" s="18" t="s">
        <v>5127</v>
      </c>
      <c r="AH412" s="18" t="s">
        <v>5127</v>
      </c>
      <c r="AI412" s="18">
        <v>1</v>
      </c>
      <c r="AK412" s="18" t="s">
        <v>5164</v>
      </c>
      <c r="AN412" s="18">
        <v>240333</v>
      </c>
      <c r="AO412" s="18" t="s">
        <v>5165</v>
      </c>
      <c r="AP412" s="18" t="s">
        <v>6447</v>
      </c>
      <c r="AQ412" s="18" t="s">
        <v>5269</v>
      </c>
      <c r="AR412" s="18" t="s">
        <v>5464</v>
      </c>
      <c r="AT412" s="17">
        <f>(365*D412*0.7)/1000</f>
        <v>8173.9559999999992</v>
      </c>
      <c r="AU412" s="17">
        <f t="shared" si="22"/>
        <v>114.72</v>
      </c>
      <c r="AV412" s="18">
        <f>114720/1000</f>
        <v>114.72</v>
      </c>
      <c r="AW412" s="18">
        <v>0</v>
      </c>
      <c r="AY412" s="18" t="s">
        <v>5548</v>
      </c>
      <c r="BG412" s="18" t="s">
        <v>5281</v>
      </c>
      <c r="BQ412" s="18">
        <v>0</v>
      </c>
      <c r="BR412" s="18">
        <v>0</v>
      </c>
      <c r="BS412" s="18">
        <v>0</v>
      </c>
      <c r="BT412" s="18">
        <v>0</v>
      </c>
      <c r="BU412" s="18">
        <v>0</v>
      </c>
      <c r="BV412" s="18">
        <f>240333/1000</f>
        <v>240.333</v>
      </c>
      <c r="BW412" s="15">
        <f t="shared" si="23"/>
        <v>0</v>
      </c>
      <c r="BY412" s="18" t="s">
        <v>5134</v>
      </c>
      <c r="BZ412" s="18" t="s">
        <v>5192</v>
      </c>
      <c r="CD412" s="18" t="s">
        <v>5127</v>
      </c>
      <c r="CE412" s="18" t="s">
        <v>111</v>
      </c>
      <c r="CF412" s="18" t="s">
        <v>5135</v>
      </c>
      <c r="CG412" s="18" t="s">
        <v>6448</v>
      </c>
      <c r="CH412" s="18" t="s">
        <v>5137</v>
      </c>
      <c r="CI412" s="18" t="s">
        <v>5138</v>
      </c>
      <c r="CJ412" s="18" t="s">
        <v>5196</v>
      </c>
      <c r="CK412" s="18" t="s">
        <v>5197</v>
      </c>
      <c r="CL412" s="18">
        <v>2</v>
      </c>
      <c r="CM412" s="18">
        <v>0</v>
      </c>
      <c r="CN412" s="18">
        <v>0</v>
      </c>
      <c r="CO412" s="18">
        <v>1</v>
      </c>
      <c r="CP412" s="18">
        <v>2</v>
      </c>
      <c r="CQ412" s="18">
        <v>1</v>
      </c>
      <c r="CR412" s="18">
        <v>1</v>
      </c>
      <c r="CS412" s="18" t="s">
        <v>5141</v>
      </c>
      <c r="CT412" s="18">
        <v>1</v>
      </c>
      <c r="CU412" s="18">
        <v>1</v>
      </c>
      <c r="CV412" s="18">
        <v>1</v>
      </c>
      <c r="CX412" s="18">
        <v>0</v>
      </c>
      <c r="CY412" s="18">
        <v>0</v>
      </c>
      <c r="CZ412" s="18">
        <v>1</v>
      </c>
      <c r="DA412" s="18">
        <v>1</v>
      </c>
      <c r="DB412" s="18">
        <v>1</v>
      </c>
      <c r="DC412" s="18">
        <v>0</v>
      </c>
      <c r="DD412" s="18">
        <v>0</v>
      </c>
      <c r="DE412" s="18">
        <v>5</v>
      </c>
      <c r="DF412" s="18" t="s">
        <v>5141</v>
      </c>
      <c r="DG412" s="18">
        <v>0</v>
      </c>
      <c r="DH412" s="18">
        <v>1</v>
      </c>
      <c r="DI412" s="18">
        <v>0</v>
      </c>
      <c r="DK412" s="18">
        <v>0</v>
      </c>
      <c r="DL412" s="18">
        <v>0</v>
      </c>
      <c r="DM412" s="18" t="s">
        <v>5127</v>
      </c>
      <c r="DN412" s="18" t="s">
        <v>5142</v>
      </c>
      <c r="DO412" s="18" t="s">
        <v>5742</v>
      </c>
      <c r="DP412" s="18" t="s">
        <v>113</v>
      </c>
      <c r="DQ412" s="18" t="s">
        <v>5464</v>
      </c>
      <c r="DS412" s="18">
        <v>0</v>
      </c>
      <c r="DT412" s="18">
        <v>0</v>
      </c>
      <c r="DU412" s="18">
        <v>1</v>
      </c>
      <c r="DV412" s="18" t="s">
        <v>5260</v>
      </c>
      <c r="DX412" s="18" t="s">
        <v>5201</v>
      </c>
      <c r="DY412" s="18" t="s">
        <v>106</v>
      </c>
      <c r="DZ412" s="18" t="s">
        <v>113</v>
      </c>
      <c r="EA412" s="18" t="s">
        <v>5453</v>
      </c>
      <c r="EB412" s="18">
        <v>114720</v>
      </c>
      <c r="EC412" s="18" t="s">
        <v>106</v>
      </c>
      <c r="ED412" s="18" t="s">
        <v>5147</v>
      </c>
      <c r="EE412" s="18" t="s">
        <v>106</v>
      </c>
      <c r="EF412" s="18" t="s">
        <v>106</v>
      </c>
      <c r="EG412" s="18" t="s">
        <v>5810</v>
      </c>
      <c r="EH412" s="18" t="s">
        <v>5203</v>
      </c>
      <c r="EI412" s="18" t="s">
        <v>5204</v>
      </c>
      <c r="EJ412" s="18" t="s">
        <v>5530</v>
      </c>
      <c r="EK412" s="18" t="s">
        <v>113</v>
      </c>
      <c r="EM412" s="18" t="s">
        <v>5227</v>
      </c>
      <c r="EN412" s="18" t="s">
        <v>113</v>
      </c>
      <c r="EO412" s="18" t="s">
        <v>113</v>
      </c>
      <c r="EP412" s="18" t="s">
        <v>113</v>
      </c>
      <c r="EQ412" s="18" t="s">
        <v>113</v>
      </c>
      <c r="ER412" s="18" t="s">
        <v>5152</v>
      </c>
      <c r="ES412" s="18" t="s">
        <v>5153</v>
      </c>
      <c r="ET412" s="18" t="s">
        <v>5154</v>
      </c>
      <c r="EU412" s="18" t="s">
        <v>5155</v>
      </c>
      <c r="EV412" s="18" t="s">
        <v>6449</v>
      </c>
      <c r="EW412" s="18" t="s">
        <v>6450</v>
      </c>
      <c r="EX412" s="18" t="s">
        <v>5158</v>
      </c>
      <c r="EY412" s="18" t="s">
        <v>5181</v>
      </c>
      <c r="EZ412" s="18" t="s">
        <v>5182</v>
      </c>
      <c r="FA412" s="18" t="s">
        <v>144</v>
      </c>
      <c r="FB412" s="18" t="s">
        <v>5161</v>
      </c>
    </row>
    <row r="413" spans="1:158" ht="10.5" customHeight="1" x14ac:dyDescent="0.2">
      <c r="A413" s="16">
        <v>41</v>
      </c>
      <c r="B413" s="16" t="s">
        <v>3950</v>
      </c>
      <c r="C413" s="16" t="s">
        <v>3949</v>
      </c>
      <c r="D413" s="16">
        <v>74935</v>
      </c>
      <c r="E413" s="16" t="s">
        <v>6658</v>
      </c>
      <c r="F413" s="18" t="s">
        <v>3949</v>
      </c>
      <c r="G413" s="18" t="s">
        <v>106</v>
      </c>
      <c r="H413" s="15" t="s">
        <v>5127</v>
      </c>
      <c r="I413" s="18">
        <v>14</v>
      </c>
      <c r="J413" s="18">
        <v>8</v>
      </c>
      <c r="K413" s="18">
        <v>6</v>
      </c>
      <c r="L413" s="18">
        <v>0</v>
      </c>
      <c r="M413" s="18" t="s">
        <v>5183</v>
      </c>
      <c r="N413" s="18" t="s">
        <v>111</v>
      </c>
      <c r="T413" s="18" t="s">
        <v>111</v>
      </c>
      <c r="U413" s="18" t="s">
        <v>5250</v>
      </c>
      <c r="V413" s="18" t="s">
        <v>106</v>
      </c>
      <c r="W413" s="18" t="s">
        <v>5211</v>
      </c>
      <c r="Y413" s="18" t="s">
        <v>5162</v>
      </c>
      <c r="Z413" s="18" t="s">
        <v>113</v>
      </c>
      <c r="AA413" s="18" t="s">
        <v>5163</v>
      </c>
      <c r="AB413" s="18" t="s">
        <v>179</v>
      </c>
      <c r="AC413" s="18" t="s">
        <v>111</v>
      </c>
      <c r="AD413" s="18" t="s">
        <v>111</v>
      </c>
      <c r="AE413" s="18" t="s">
        <v>5127</v>
      </c>
      <c r="AF413" s="18" t="s">
        <v>111</v>
      </c>
      <c r="AG413" s="18" t="s">
        <v>5127</v>
      </c>
      <c r="AH413" s="18" t="s">
        <v>5127</v>
      </c>
      <c r="AI413" s="18">
        <v>1</v>
      </c>
      <c r="AK413" s="18" t="s">
        <v>5164</v>
      </c>
      <c r="AN413" s="18">
        <v>697</v>
      </c>
      <c r="AO413" s="18" t="s">
        <v>5186</v>
      </c>
      <c r="AP413" s="18" t="s">
        <v>6451</v>
      </c>
      <c r="AQ413" s="18" t="s">
        <v>5252</v>
      </c>
      <c r="AR413" s="18" t="s">
        <v>5168</v>
      </c>
      <c r="AT413" s="17">
        <f>(365*D413*0.7)/1000</f>
        <v>19145.892500000002</v>
      </c>
      <c r="AU413" s="17">
        <f t="shared" si="22"/>
        <v>453</v>
      </c>
      <c r="AV413" s="18">
        <v>453</v>
      </c>
      <c r="AW413" s="18">
        <v>0</v>
      </c>
      <c r="AY413" s="18" t="s">
        <v>164</v>
      </c>
      <c r="BG413" s="18" t="s">
        <v>5527</v>
      </c>
      <c r="BQ413" s="18">
        <v>164.23</v>
      </c>
      <c r="BR413" s="18">
        <v>24.8</v>
      </c>
      <c r="BS413" s="18">
        <v>24.7</v>
      </c>
      <c r="BT413" s="18">
        <v>69.599999999999994</v>
      </c>
      <c r="BU413" s="18">
        <v>9.24</v>
      </c>
      <c r="BV413" s="18">
        <v>292.57</v>
      </c>
      <c r="BW413" s="15">
        <f t="shared" si="23"/>
        <v>292.57</v>
      </c>
      <c r="BY413" s="18" t="s">
        <v>5134</v>
      </c>
      <c r="BZ413" s="18" t="s">
        <v>193</v>
      </c>
      <c r="CD413" s="18" t="s">
        <v>5127</v>
      </c>
      <c r="CE413" s="18" t="s">
        <v>111</v>
      </c>
      <c r="CF413" s="18" t="s">
        <v>5135</v>
      </c>
      <c r="CG413" s="18" t="s">
        <v>5651</v>
      </c>
      <c r="CH413" s="18" t="s">
        <v>111</v>
      </c>
      <c r="CI413" s="18" t="s">
        <v>5138</v>
      </c>
      <c r="CJ413" s="18" t="s">
        <v>5139</v>
      </c>
      <c r="CK413" s="18" t="s">
        <v>5197</v>
      </c>
      <c r="CL413" s="18">
        <v>3</v>
      </c>
      <c r="CM413" s="18">
        <v>0</v>
      </c>
      <c r="CN413" s="18">
        <v>0</v>
      </c>
      <c r="CO413" s="18">
        <v>1</v>
      </c>
      <c r="CP413" s="18">
        <v>0</v>
      </c>
      <c r="CQ413" s="18">
        <v>0</v>
      </c>
      <c r="CR413" s="18">
        <v>0</v>
      </c>
      <c r="CS413" s="18" t="s">
        <v>5141</v>
      </c>
      <c r="CT413" s="18">
        <v>0</v>
      </c>
      <c r="CU413" s="18">
        <v>0</v>
      </c>
      <c r="CV413" s="18">
        <v>1</v>
      </c>
      <c r="CX413" s="18">
        <v>0</v>
      </c>
      <c r="CY413" s="18">
        <v>1</v>
      </c>
      <c r="CZ413" s="18">
        <v>1</v>
      </c>
      <c r="DA413" s="18">
        <v>0</v>
      </c>
      <c r="DB413" s="18">
        <v>0</v>
      </c>
      <c r="DC413" s="18">
        <v>0</v>
      </c>
      <c r="DD413" s="18">
        <v>1</v>
      </c>
      <c r="DE413" s="18">
        <v>0</v>
      </c>
      <c r="DF413" s="18" t="s">
        <v>5141</v>
      </c>
      <c r="DG413" s="18">
        <v>0</v>
      </c>
      <c r="DH413" s="18">
        <v>0</v>
      </c>
      <c r="DI413" s="18">
        <v>1</v>
      </c>
      <c r="DK413" s="18">
        <v>0</v>
      </c>
      <c r="DL413" s="18">
        <v>0</v>
      </c>
      <c r="DM413" s="18" t="s">
        <v>111</v>
      </c>
      <c r="DN413" s="18" t="s">
        <v>5299</v>
      </c>
      <c r="DO413" s="18" t="s">
        <v>5259</v>
      </c>
      <c r="DP413" s="18" t="s">
        <v>113</v>
      </c>
      <c r="DS413" s="18">
        <v>0</v>
      </c>
      <c r="DT413" s="18">
        <v>0</v>
      </c>
      <c r="DU413" s="18">
        <v>1</v>
      </c>
      <c r="DV413" s="18" t="s">
        <v>5342</v>
      </c>
      <c r="DX413" s="18" t="s">
        <v>5145</v>
      </c>
      <c r="DY413" s="18" t="s">
        <v>106</v>
      </c>
      <c r="DZ413" s="18" t="s">
        <v>106</v>
      </c>
      <c r="EA413" s="18" t="s">
        <v>5146</v>
      </c>
      <c r="EB413" s="18">
        <v>244</v>
      </c>
      <c r="EC413" s="18" t="s">
        <v>113</v>
      </c>
      <c r="ED413" s="18" t="s">
        <v>5147</v>
      </c>
      <c r="EE413" s="18" t="s">
        <v>113</v>
      </c>
      <c r="EF413" s="18" t="s">
        <v>113</v>
      </c>
      <c r="EG413" s="18" t="s">
        <v>5148</v>
      </c>
      <c r="EH413" s="18" t="s">
        <v>5203</v>
      </c>
      <c r="EI413" s="18" t="s">
        <v>5204</v>
      </c>
      <c r="EJ413" s="18" t="s">
        <v>5343</v>
      </c>
      <c r="EN413" s="18" t="s">
        <v>113</v>
      </c>
      <c r="EO413" s="18" t="s">
        <v>113</v>
      </c>
      <c r="EP413" s="18" t="s">
        <v>113</v>
      </c>
      <c r="EQ413" s="18" t="s">
        <v>113</v>
      </c>
      <c r="ER413" s="18" t="s">
        <v>5206</v>
      </c>
      <c r="ES413" s="18" t="s">
        <v>5153</v>
      </c>
      <c r="ET413" s="18" t="s">
        <v>5154</v>
      </c>
      <c r="EU413" s="18" t="s">
        <v>5318</v>
      </c>
      <c r="EV413" s="18" t="s">
        <v>179</v>
      </c>
      <c r="EW413" s="18" t="s">
        <v>179</v>
      </c>
      <c r="EX413" s="18" t="s">
        <v>5158</v>
      </c>
      <c r="EY413" s="18" t="s">
        <v>5229</v>
      </c>
      <c r="EZ413" s="18" t="s">
        <v>5160</v>
      </c>
      <c r="FA413" s="18" t="s">
        <v>144</v>
      </c>
      <c r="FB413" s="18" t="s">
        <v>5161</v>
      </c>
    </row>
    <row r="414" spans="1:158" ht="10.5" customHeight="1" x14ac:dyDescent="0.2">
      <c r="A414" s="16">
        <v>41</v>
      </c>
      <c r="B414" s="16" t="s">
        <v>3969</v>
      </c>
      <c r="C414" s="16" t="s">
        <v>3968</v>
      </c>
      <c r="D414" s="16">
        <v>11371</v>
      </c>
      <c r="E414" s="16" t="s">
        <v>6656</v>
      </c>
      <c r="F414" s="18" t="s">
        <v>3968</v>
      </c>
      <c r="G414" s="18" t="s">
        <v>106</v>
      </c>
      <c r="H414" s="15" t="s">
        <v>5127</v>
      </c>
      <c r="I414" s="18">
        <v>10</v>
      </c>
      <c r="J414" s="18">
        <v>4</v>
      </c>
      <c r="K414" s="18">
        <v>6</v>
      </c>
      <c r="L414" s="18">
        <v>0</v>
      </c>
      <c r="M414" s="18" t="s">
        <v>5230</v>
      </c>
      <c r="N414" s="18" t="s">
        <v>6452</v>
      </c>
      <c r="O414" s="18">
        <v>46117</v>
      </c>
      <c r="T414" s="18" t="s">
        <v>5382</v>
      </c>
      <c r="U414" s="18" t="s">
        <v>5185</v>
      </c>
      <c r="V414" s="18" t="s">
        <v>106</v>
      </c>
      <c r="W414" s="18" t="s">
        <v>5124</v>
      </c>
      <c r="Y414" s="18" t="s">
        <v>5232</v>
      </c>
      <c r="Z414" s="18" t="s">
        <v>106</v>
      </c>
      <c r="AA414" s="18" t="s">
        <v>5163</v>
      </c>
      <c r="AB414" s="18" t="s">
        <v>5213</v>
      </c>
      <c r="AC414" s="18" t="s">
        <v>5127</v>
      </c>
      <c r="AD414" s="18" t="s">
        <v>5127</v>
      </c>
      <c r="AE414" s="18" t="s">
        <v>111</v>
      </c>
      <c r="AF414" s="18" t="s">
        <v>5127</v>
      </c>
      <c r="AG414" s="18" t="s">
        <v>111</v>
      </c>
      <c r="AH414" s="18" t="s">
        <v>111</v>
      </c>
      <c r="AI414" s="18">
        <v>1</v>
      </c>
      <c r="AK414" s="18" t="s">
        <v>5164</v>
      </c>
      <c r="AN414" s="18">
        <v>314</v>
      </c>
      <c r="AO414" s="18" t="s">
        <v>5186</v>
      </c>
      <c r="AP414" s="18" t="s">
        <v>6453</v>
      </c>
      <c r="AQ414" s="18" t="s">
        <v>6454</v>
      </c>
      <c r="AR414" s="18" t="s">
        <v>5132</v>
      </c>
      <c r="AT414" s="17">
        <f>(365*D414*0.7)/1000</f>
        <v>2905.2905000000001</v>
      </c>
      <c r="AU414" s="17">
        <f t="shared" si="22"/>
        <v>36</v>
      </c>
      <c r="AV414" s="18">
        <v>36</v>
      </c>
      <c r="AW414" s="18">
        <v>0</v>
      </c>
      <c r="AY414" s="18" t="s">
        <v>5848</v>
      </c>
      <c r="BA414" s="18">
        <v>50</v>
      </c>
      <c r="BD414" s="18">
        <f>300/1000</f>
        <v>0.3</v>
      </c>
      <c r="BG414" s="18" t="s">
        <v>5281</v>
      </c>
      <c r="BQ414" s="18">
        <v>60</v>
      </c>
      <c r="BR414" s="18">
        <v>90</v>
      </c>
      <c r="BS414" s="18">
        <v>72</v>
      </c>
      <c r="BT414" s="18">
        <v>54</v>
      </c>
      <c r="BU414" s="18">
        <v>2</v>
      </c>
      <c r="BV414" s="18">
        <v>278</v>
      </c>
      <c r="BW414" s="15">
        <f t="shared" si="23"/>
        <v>278</v>
      </c>
      <c r="BY414" s="18" t="s">
        <v>5134</v>
      </c>
      <c r="BZ414" s="18" t="s">
        <v>193</v>
      </c>
      <c r="CD414" s="18" t="s">
        <v>5127</v>
      </c>
      <c r="CE414" s="18" t="s">
        <v>111</v>
      </c>
      <c r="CF414" s="18" t="s">
        <v>5282</v>
      </c>
      <c r="CG414" s="18" t="s">
        <v>5715</v>
      </c>
      <c r="CH414" s="18" t="s">
        <v>111</v>
      </c>
      <c r="CI414" s="18" t="s">
        <v>5138</v>
      </c>
      <c r="CJ414" s="18" t="s">
        <v>5196</v>
      </c>
      <c r="CK414" s="18" t="s">
        <v>5197</v>
      </c>
      <c r="CL414" s="18">
        <v>1</v>
      </c>
      <c r="CM414" s="18">
        <v>1</v>
      </c>
      <c r="CN414" s="18">
        <v>0</v>
      </c>
      <c r="CO414" s="18">
        <v>1</v>
      </c>
      <c r="CP414" s="18">
        <v>1</v>
      </c>
      <c r="CQ414" s="18">
        <v>1</v>
      </c>
      <c r="CR414" s="18">
        <v>0</v>
      </c>
      <c r="CS414" s="18">
        <v>3</v>
      </c>
      <c r="CT414" s="18">
        <v>0</v>
      </c>
      <c r="CU414" s="18">
        <v>0</v>
      </c>
      <c r="CV414" s="18">
        <v>2</v>
      </c>
      <c r="CX414" s="18">
        <v>1</v>
      </c>
      <c r="CY414" s="18">
        <v>0</v>
      </c>
      <c r="CZ414" s="18">
        <v>0</v>
      </c>
      <c r="DA414" s="18">
        <v>1</v>
      </c>
      <c r="DB414" s="18">
        <v>0</v>
      </c>
      <c r="DC414" s="18">
        <v>1</v>
      </c>
      <c r="DD414" s="18">
        <v>1</v>
      </c>
      <c r="DE414" s="18">
        <v>0</v>
      </c>
      <c r="DF414" s="18">
        <v>0</v>
      </c>
      <c r="DG414" s="18">
        <v>1</v>
      </c>
      <c r="DH414" s="18">
        <v>1</v>
      </c>
      <c r="DI414" s="18">
        <v>0</v>
      </c>
      <c r="DK414" s="18">
        <v>0</v>
      </c>
      <c r="DL414" s="18">
        <v>1</v>
      </c>
      <c r="DM414" s="18" t="s">
        <v>5127</v>
      </c>
      <c r="DN414" s="18" t="s">
        <v>5172</v>
      </c>
      <c r="DO414" s="18" t="s">
        <v>5481</v>
      </c>
      <c r="DP414" s="18" t="s">
        <v>113</v>
      </c>
      <c r="DS414" s="18">
        <v>0</v>
      </c>
      <c r="DT414" s="18">
        <v>1</v>
      </c>
      <c r="DU414" s="18">
        <v>0</v>
      </c>
      <c r="DV414" s="18" t="s">
        <v>5144</v>
      </c>
      <c r="DX414" s="18" t="s">
        <v>5201</v>
      </c>
      <c r="DY414" s="18" t="s">
        <v>106</v>
      </c>
      <c r="DZ414" s="18" t="s">
        <v>113</v>
      </c>
      <c r="EA414" s="18" t="s">
        <v>5243</v>
      </c>
      <c r="EB414" s="18">
        <v>278</v>
      </c>
      <c r="EC414" s="18" t="s">
        <v>106</v>
      </c>
      <c r="ED414" s="18" t="s">
        <v>5176</v>
      </c>
      <c r="EE414" s="18" t="s">
        <v>106</v>
      </c>
      <c r="EF414" s="18" t="s">
        <v>106</v>
      </c>
      <c r="EG414" s="18" t="s">
        <v>5148</v>
      </c>
      <c r="EH414" s="18" t="s">
        <v>5203</v>
      </c>
      <c r="EI414" s="18" t="s">
        <v>5204</v>
      </c>
      <c r="EJ414" s="18" t="s">
        <v>6208</v>
      </c>
      <c r="EK414" s="18" t="s">
        <v>5362</v>
      </c>
      <c r="EN414" s="18" t="s">
        <v>113</v>
      </c>
      <c r="EO414" s="18" t="s">
        <v>113</v>
      </c>
      <c r="EP414" s="18" t="s">
        <v>113</v>
      </c>
      <c r="EQ414" s="18" t="s">
        <v>113</v>
      </c>
      <c r="ER414" s="18" t="s">
        <v>5206</v>
      </c>
      <c r="ES414" s="18" t="s">
        <v>5153</v>
      </c>
      <c r="ET414" s="18" t="s">
        <v>5154</v>
      </c>
      <c r="EU414" s="18" t="s">
        <v>5155</v>
      </c>
      <c r="EV414" s="18" t="s">
        <v>6151</v>
      </c>
      <c r="EW414" s="18" t="s">
        <v>5563</v>
      </c>
      <c r="EX414" s="18" t="s">
        <v>5158</v>
      </c>
      <c r="EY414" s="18" t="s">
        <v>5229</v>
      </c>
      <c r="EZ414" s="18" t="s">
        <v>5160</v>
      </c>
      <c r="FA414" s="18" t="s">
        <v>144</v>
      </c>
      <c r="FB414" s="18" t="s">
        <v>5161</v>
      </c>
    </row>
    <row r="415" spans="1:158" ht="10.5" customHeight="1" x14ac:dyDescent="0.2">
      <c r="A415" s="16">
        <v>41</v>
      </c>
      <c r="B415" s="16" t="s">
        <v>2595</v>
      </c>
      <c r="C415" s="16" t="s">
        <v>2596</v>
      </c>
      <c r="D415" s="16">
        <v>9240</v>
      </c>
      <c r="E415" s="16" t="s">
        <v>6656</v>
      </c>
      <c r="H415" s="15" t="s">
        <v>6661</v>
      </c>
      <c r="AT415" s="17">
        <f>(365*D415*0.7)/1000</f>
        <v>2360.8200000000002</v>
      </c>
      <c r="AU415" s="17">
        <f t="shared" si="22"/>
        <v>0</v>
      </c>
      <c r="BW415" s="15">
        <f t="shared" si="23"/>
        <v>0</v>
      </c>
    </row>
    <row r="416" spans="1:158" ht="10.5" customHeight="1" x14ac:dyDescent="0.2">
      <c r="A416" s="16">
        <v>41</v>
      </c>
      <c r="B416" s="16" t="s">
        <v>3982</v>
      </c>
      <c r="C416" s="16" t="s">
        <v>3981</v>
      </c>
      <c r="D416" s="16">
        <v>5491</v>
      </c>
      <c r="E416" s="16" t="s">
        <v>6656</v>
      </c>
      <c r="F416" s="18" t="s">
        <v>3981</v>
      </c>
      <c r="G416" s="18" t="s">
        <v>113</v>
      </c>
      <c r="H416" s="15" t="s">
        <v>111</v>
      </c>
      <c r="AT416" s="17">
        <f>(365*D416*0.7)/1000</f>
        <v>1402.9504999999999</v>
      </c>
      <c r="AU416" s="17">
        <f t="shared" si="22"/>
        <v>0</v>
      </c>
      <c r="BW416" s="15">
        <f t="shared" si="23"/>
        <v>0</v>
      </c>
    </row>
    <row r="417" spans="1:158" ht="10.5" customHeight="1" x14ac:dyDescent="0.2">
      <c r="A417" s="16">
        <v>41</v>
      </c>
      <c r="B417" s="16" t="s">
        <v>3990</v>
      </c>
      <c r="C417" s="16" t="s">
        <v>3989</v>
      </c>
      <c r="D417" s="16">
        <v>9320</v>
      </c>
      <c r="E417" s="16" t="s">
        <v>6656</v>
      </c>
      <c r="F417" s="18" t="s">
        <v>3989</v>
      </c>
      <c r="G417" s="18" t="s">
        <v>106</v>
      </c>
      <c r="H417" s="15" t="s">
        <v>5127</v>
      </c>
      <c r="I417" s="18">
        <v>12</v>
      </c>
      <c r="J417" s="18">
        <v>8</v>
      </c>
      <c r="K417" s="18">
        <v>4</v>
      </c>
      <c r="L417" s="18">
        <v>0</v>
      </c>
      <c r="M417" s="18" t="s">
        <v>5183</v>
      </c>
      <c r="N417" s="18" t="s">
        <v>6455</v>
      </c>
      <c r="O417" s="18">
        <v>47525</v>
      </c>
      <c r="T417" s="18" t="s">
        <v>111</v>
      </c>
      <c r="U417" s="18" t="s">
        <v>5123</v>
      </c>
      <c r="V417" s="18" t="s">
        <v>106</v>
      </c>
      <c r="W417" s="18" t="s">
        <v>5211</v>
      </c>
      <c r="Y417" s="18" t="s">
        <v>5232</v>
      </c>
      <c r="Z417" s="18" t="s">
        <v>106</v>
      </c>
      <c r="AA417" s="18" t="s">
        <v>5163</v>
      </c>
      <c r="AB417" s="18" t="s">
        <v>179</v>
      </c>
      <c r="AC417" s="18" t="s">
        <v>5127</v>
      </c>
      <c r="AD417" s="18" t="s">
        <v>5127</v>
      </c>
      <c r="AE417" s="18" t="s">
        <v>5127</v>
      </c>
      <c r="AF417" s="18" t="s">
        <v>111</v>
      </c>
      <c r="AG417" s="18" t="s">
        <v>5127</v>
      </c>
      <c r="AH417" s="18" t="s">
        <v>5127</v>
      </c>
      <c r="AI417" s="18">
        <v>1</v>
      </c>
      <c r="AK417" s="18" t="s">
        <v>5279</v>
      </c>
      <c r="AN417" s="18">
        <v>0</v>
      </c>
      <c r="AO417" s="18" t="s">
        <v>5186</v>
      </c>
      <c r="AP417" s="18" t="s">
        <v>6456</v>
      </c>
      <c r="AQ417" s="18" t="s">
        <v>5311</v>
      </c>
      <c r="AR417" s="18" t="s">
        <v>5464</v>
      </c>
      <c r="AT417" s="17">
        <f>(365*D417*0.7)/1000</f>
        <v>2381.2600000000002</v>
      </c>
      <c r="AU417" s="17">
        <f t="shared" si="22"/>
        <v>135</v>
      </c>
      <c r="AV417" s="18">
        <v>135</v>
      </c>
      <c r="AW417" s="18">
        <v>0</v>
      </c>
      <c r="AY417" s="18" t="s">
        <v>5334</v>
      </c>
      <c r="BG417" s="18" t="s">
        <v>5375</v>
      </c>
      <c r="BQ417" s="18">
        <v>0</v>
      </c>
      <c r="BR417" s="18">
        <v>0</v>
      </c>
      <c r="BS417" s="18">
        <v>0</v>
      </c>
      <c r="BT417" s="18">
        <v>0</v>
      </c>
      <c r="BU417" s="18">
        <v>0</v>
      </c>
      <c r="BV417" s="18">
        <v>360</v>
      </c>
      <c r="BW417" s="15">
        <f t="shared" si="23"/>
        <v>0</v>
      </c>
      <c r="BY417" s="18" t="s">
        <v>6457</v>
      </c>
      <c r="BZ417" s="18" t="s">
        <v>5312</v>
      </c>
      <c r="CD417" s="18" t="s">
        <v>5127</v>
      </c>
      <c r="CE417" s="18" t="s">
        <v>111</v>
      </c>
      <c r="CF417" s="18" t="s">
        <v>5135</v>
      </c>
      <c r="CG417" s="18" t="s">
        <v>5550</v>
      </c>
      <c r="CH417" s="18" t="s">
        <v>5241</v>
      </c>
      <c r="CI417" s="18" t="s">
        <v>5138</v>
      </c>
      <c r="CJ417" s="18" t="s">
        <v>5196</v>
      </c>
      <c r="CK417" s="18" t="s">
        <v>5197</v>
      </c>
      <c r="CL417" s="18">
        <v>1</v>
      </c>
      <c r="CM417" s="18">
        <v>0</v>
      </c>
      <c r="CN417" s="18">
        <v>0</v>
      </c>
      <c r="CO417" s="18">
        <v>1</v>
      </c>
      <c r="CP417" s="18">
        <v>1</v>
      </c>
      <c r="CQ417" s="18">
        <v>0</v>
      </c>
      <c r="CR417" s="18">
        <v>0</v>
      </c>
      <c r="CS417" s="18" t="s">
        <v>5141</v>
      </c>
      <c r="CT417" s="18">
        <v>0</v>
      </c>
      <c r="CU417" s="18">
        <v>1</v>
      </c>
      <c r="CV417" s="18">
        <v>1</v>
      </c>
      <c r="CX417" s="18">
        <v>0</v>
      </c>
      <c r="CY417" s="18">
        <v>1</v>
      </c>
      <c r="CZ417" s="18">
        <v>0</v>
      </c>
      <c r="DA417" s="18">
        <v>1</v>
      </c>
      <c r="DB417" s="18">
        <v>0</v>
      </c>
      <c r="DC417" s="18">
        <v>1</v>
      </c>
      <c r="DD417" s="18">
        <v>1</v>
      </c>
      <c r="DE417" s="18">
        <v>0</v>
      </c>
      <c r="DF417" s="18" t="s">
        <v>5141</v>
      </c>
      <c r="DG417" s="18">
        <v>1</v>
      </c>
      <c r="DH417" s="18">
        <v>0</v>
      </c>
      <c r="DI417" s="18" t="s">
        <v>5141</v>
      </c>
      <c r="DK417" s="18">
        <v>0</v>
      </c>
      <c r="DL417" s="18">
        <v>1</v>
      </c>
      <c r="DM417" s="18" t="s">
        <v>5127</v>
      </c>
      <c r="DN417" s="18" t="s">
        <v>5299</v>
      </c>
      <c r="DO417" s="18" t="s">
        <v>5315</v>
      </c>
      <c r="DP417" s="18" t="s">
        <v>113</v>
      </c>
      <c r="DS417" s="18">
        <v>0</v>
      </c>
      <c r="DT417" s="18">
        <v>1</v>
      </c>
      <c r="DU417" s="18">
        <v>1</v>
      </c>
      <c r="DV417" s="18" t="s">
        <v>5260</v>
      </c>
      <c r="DX417" s="18" t="s">
        <v>5222</v>
      </c>
      <c r="DY417" s="18" t="s">
        <v>106</v>
      </c>
      <c r="DZ417" s="18" t="s">
        <v>113</v>
      </c>
      <c r="EA417" s="18" t="s">
        <v>5261</v>
      </c>
      <c r="EB417" s="18">
        <v>360</v>
      </c>
      <c r="EC417" s="18" t="s">
        <v>106</v>
      </c>
      <c r="ED417" s="18" t="s">
        <v>5176</v>
      </c>
      <c r="EE417" s="18" t="s">
        <v>113</v>
      </c>
      <c r="EF417" s="18" t="s">
        <v>113</v>
      </c>
      <c r="EG417" s="18" t="s">
        <v>5148</v>
      </c>
      <c r="EH417" s="18" t="s">
        <v>5203</v>
      </c>
      <c r="EI417" s="18" t="s">
        <v>5150</v>
      </c>
      <c r="EJ417" s="18" t="s">
        <v>5287</v>
      </c>
      <c r="EN417" s="18" t="s">
        <v>113</v>
      </c>
      <c r="EO417" s="18" t="s">
        <v>113</v>
      </c>
      <c r="EP417" s="18" t="s">
        <v>113</v>
      </c>
      <c r="EQ417" s="18" t="s">
        <v>113</v>
      </c>
      <c r="ER417" s="18" t="s">
        <v>5152</v>
      </c>
      <c r="ES417" s="18" t="s">
        <v>5153</v>
      </c>
      <c r="ET417" s="18" t="s">
        <v>5154</v>
      </c>
      <c r="EU417" s="18" t="s">
        <v>5318</v>
      </c>
      <c r="EV417" s="18" t="s">
        <v>6122</v>
      </c>
      <c r="EW417" s="18" t="s">
        <v>5870</v>
      </c>
      <c r="EX417" s="18" t="s">
        <v>5158</v>
      </c>
      <c r="EY417" s="18" t="s">
        <v>5438</v>
      </c>
      <c r="EZ417" s="18" t="s">
        <v>5160</v>
      </c>
      <c r="FA417" s="18" t="s">
        <v>144</v>
      </c>
      <c r="FB417" s="18" t="s">
        <v>5161</v>
      </c>
    </row>
    <row r="418" spans="1:158" ht="10.5" customHeight="1" x14ac:dyDescent="0.2">
      <c r="A418" s="16">
        <v>41</v>
      </c>
      <c r="B418" s="16" t="s">
        <v>4004</v>
      </c>
      <c r="C418" s="16" t="s">
        <v>4003</v>
      </c>
      <c r="D418" s="16">
        <v>4097</v>
      </c>
      <c r="E418" s="16" t="s">
        <v>6656</v>
      </c>
      <c r="F418" s="18" t="s">
        <v>4003</v>
      </c>
      <c r="G418" s="18" t="s">
        <v>106</v>
      </c>
      <c r="H418" s="15" t="s">
        <v>5127</v>
      </c>
      <c r="I418" s="18">
        <v>3</v>
      </c>
      <c r="J418" s="18">
        <v>0</v>
      </c>
      <c r="K418" s="18">
        <v>3</v>
      </c>
      <c r="L418" s="18">
        <v>0</v>
      </c>
      <c r="M418" s="18" t="s">
        <v>5183</v>
      </c>
      <c r="N418" s="18" t="s">
        <v>6458</v>
      </c>
      <c r="O418" s="18">
        <v>45939</v>
      </c>
      <c r="T418" s="18" t="s">
        <v>111</v>
      </c>
      <c r="U418" s="18" t="s">
        <v>5123</v>
      </c>
      <c r="V418" s="18" t="s">
        <v>106</v>
      </c>
      <c r="W418" s="18" t="s">
        <v>113</v>
      </c>
      <c r="Y418" s="18" t="s">
        <v>5407</v>
      </c>
      <c r="Z418" s="18" t="s">
        <v>113</v>
      </c>
      <c r="AA418" s="18" t="s">
        <v>5163</v>
      </c>
      <c r="AB418" s="18" t="s">
        <v>179</v>
      </c>
      <c r="AC418" s="18" t="s">
        <v>111</v>
      </c>
      <c r="AD418" s="18" t="s">
        <v>111</v>
      </c>
      <c r="AE418" s="18" t="s">
        <v>111</v>
      </c>
      <c r="AF418" s="18" t="s">
        <v>111</v>
      </c>
      <c r="AG418" s="18" t="s">
        <v>5127</v>
      </c>
      <c r="AH418" s="18" t="s">
        <v>111</v>
      </c>
      <c r="AI418" s="18">
        <v>1</v>
      </c>
      <c r="AK418" s="18" t="s">
        <v>5164</v>
      </c>
      <c r="AN418" s="18">
        <v>0</v>
      </c>
      <c r="AO418" s="18" t="s">
        <v>5186</v>
      </c>
      <c r="AP418" s="18" t="s">
        <v>6459</v>
      </c>
      <c r="AQ418" s="18" t="s">
        <v>5269</v>
      </c>
      <c r="AR418" s="18" t="s">
        <v>5168</v>
      </c>
      <c r="AT418" s="17">
        <f>(365*D418*0.7)/1000</f>
        <v>1046.7834999999998</v>
      </c>
      <c r="AU418" s="17">
        <f t="shared" si="22"/>
        <v>29</v>
      </c>
      <c r="AV418" s="18">
        <v>29</v>
      </c>
      <c r="AW418" s="18">
        <v>0</v>
      </c>
      <c r="AY418" s="18" t="s">
        <v>164</v>
      </c>
      <c r="AZ418" s="18">
        <v>0</v>
      </c>
      <c r="BG418" s="18" t="s">
        <v>5169</v>
      </c>
      <c r="BQ418" s="18">
        <v>58</v>
      </c>
      <c r="BR418" s="18">
        <v>29</v>
      </c>
      <c r="BS418" s="18">
        <v>8</v>
      </c>
      <c r="BT418" s="18">
        <v>0.3</v>
      </c>
      <c r="BU418" s="18">
        <v>7</v>
      </c>
      <c r="BV418" s="18">
        <f>SUM(BQ418:BU418)</f>
        <v>102.3</v>
      </c>
      <c r="BW418" s="15">
        <f t="shared" si="23"/>
        <v>102.3</v>
      </c>
      <c r="BY418" s="18" t="s">
        <v>5134</v>
      </c>
      <c r="BZ418" s="18" t="s">
        <v>193</v>
      </c>
      <c r="CD418" s="18" t="s">
        <v>5127</v>
      </c>
      <c r="CE418" s="18" t="s">
        <v>5127</v>
      </c>
      <c r="CF418" s="18" t="s">
        <v>5135</v>
      </c>
      <c r="CG418" s="18" t="s">
        <v>6180</v>
      </c>
      <c r="CH418" s="18" t="s">
        <v>5137</v>
      </c>
      <c r="CI418" s="18" t="s">
        <v>5138</v>
      </c>
      <c r="CJ418" s="18" t="s">
        <v>5196</v>
      </c>
      <c r="CK418" s="18" t="s">
        <v>179</v>
      </c>
      <c r="CL418" s="18">
        <v>0</v>
      </c>
      <c r="CM418" s="18">
        <v>1</v>
      </c>
      <c r="CN418" s="18">
        <v>0</v>
      </c>
      <c r="CO418" s="18">
        <v>2</v>
      </c>
      <c r="CP418" s="18">
        <v>2</v>
      </c>
      <c r="CQ418" s="18">
        <v>1</v>
      </c>
      <c r="CR418" s="18">
        <v>0</v>
      </c>
      <c r="CS418" s="18" t="s">
        <v>5141</v>
      </c>
      <c r="CT418" s="18">
        <v>0</v>
      </c>
      <c r="CU418" s="18">
        <v>0</v>
      </c>
      <c r="CV418" s="18" t="s">
        <v>5141</v>
      </c>
      <c r="CX418" s="18">
        <v>0</v>
      </c>
      <c r="CY418" s="18">
        <v>1</v>
      </c>
      <c r="CZ418" s="18">
        <v>0</v>
      </c>
      <c r="DA418" s="18">
        <v>1</v>
      </c>
      <c r="DB418" s="18">
        <v>0</v>
      </c>
      <c r="DC418" s="18">
        <v>0</v>
      </c>
      <c r="DD418" s="18">
        <v>1</v>
      </c>
      <c r="DE418" s="18">
        <v>1</v>
      </c>
      <c r="DF418" s="18">
        <v>0</v>
      </c>
      <c r="DG418" s="18">
        <v>0</v>
      </c>
      <c r="DH418" s="18">
        <v>1</v>
      </c>
      <c r="DI418" s="18">
        <v>0</v>
      </c>
      <c r="DK418" s="18">
        <v>0</v>
      </c>
      <c r="DL418" s="18">
        <v>1</v>
      </c>
      <c r="DM418" s="18" t="s">
        <v>5127</v>
      </c>
      <c r="DN418" s="18" t="s">
        <v>5258</v>
      </c>
      <c r="DO418" s="18" t="s">
        <v>5300</v>
      </c>
      <c r="DP418" s="18" t="s">
        <v>106</v>
      </c>
      <c r="DQ418" s="18" t="s">
        <v>5168</v>
      </c>
      <c r="DS418" s="18">
        <v>6</v>
      </c>
      <c r="DT418" s="18">
        <v>0</v>
      </c>
      <c r="DU418" s="18">
        <v>1</v>
      </c>
      <c r="DV418" s="18" t="s">
        <v>5377</v>
      </c>
      <c r="DX418" s="18" t="s">
        <v>5145</v>
      </c>
      <c r="DY418" s="18" t="s">
        <v>113</v>
      </c>
      <c r="DZ418" s="18" t="s">
        <v>113</v>
      </c>
      <c r="EA418" s="18" t="s">
        <v>5285</v>
      </c>
      <c r="EB418" s="18">
        <v>120</v>
      </c>
      <c r="EC418" s="18" t="s">
        <v>113</v>
      </c>
      <c r="ED418" s="18" t="s">
        <v>5176</v>
      </c>
      <c r="EE418" s="18" t="s">
        <v>113</v>
      </c>
      <c r="EF418" s="18" t="s">
        <v>113</v>
      </c>
      <c r="EG418" s="18" t="s">
        <v>5148</v>
      </c>
      <c r="EH418" s="18" t="s">
        <v>5149</v>
      </c>
      <c r="EI418" s="18" t="s">
        <v>5204</v>
      </c>
      <c r="EJ418" s="18" t="s">
        <v>5245</v>
      </c>
      <c r="EK418" s="18" t="s">
        <v>113</v>
      </c>
      <c r="EL418" s="18" t="s">
        <v>6460</v>
      </c>
      <c r="EM418" s="18" t="s">
        <v>5227</v>
      </c>
      <c r="EN418" s="18" t="s">
        <v>113</v>
      </c>
      <c r="EO418" s="18" t="s">
        <v>113</v>
      </c>
      <c r="EP418" s="18" t="s">
        <v>113</v>
      </c>
      <c r="EQ418" s="18" t="s">
        <v>113</v>
      </c>
      <c r="ER418" s="18" t="s">
        <v>5289</v>
      </c>
      <c r="ES418" s="18" t="s">
        <v>5352</v>
      </c>
      <c r="ET418" s="18" t="s">
        <v>5154</v>
      </c>
      <c r="EU418" s="18" t="s">
        <v>5155</v>
      </c>
      <c r="EV418" s="18" t="s">
        <v>6461</v>
      </c>
      <c r="EW418" s="18" t="s">
        <v>179</v>
      </c>
      <c r="EX418" s="18" t="s">
        <v>5158</v>
      </c>
      <c r="EY418" s="18" t="s">
        <v>5347</v>
      </c>
      <c r="EZ418" s="18" t="s">
        <v>5160</v>
      </c>
      <c r="FA418" s="18" t="s">
        <v>144</v>
      </c>
      <c r="FB418" s="18" t="s">
        <v>5161</v>
      </c>
    </row>
    <row r="419" spans="1:158" ht="10.5" customHeight="1" x14ac:dyDescent="0.2">
      <c r="A419" s="16">
        <v>41</v>
      </c>
      <c r="B419" s="16" t="s">
        <v>4020</v>
      </c>
      <c r="C419" s="16" t="s">
        <v>4019</v>
      </c>
      <c r="D419" s="16">
        <v>5267</v>
      </c>
      <c r="E419" s="16" t="s">
        <v>6656</v>
      </c>
      <c r="F419" s="18" t="s">
        <v>4019</v>
      </c>
      <c r="G419" s="18" t="s">
        <v>106</v>
      </c>
      <c r="H419" s="15" t="s">
        <v>5127</v>
      </c>
      <c r="I419" s="18">
        <v>5</v>
      </c>
      <c r="J419" s="18">
        <v>3</v>
      </c>
      <c r="K419" s="18">
        <v>2</v>
      </c>
      <c r="L419" s="18">
        <v>0</v>
      </c>
      <c r="M419" s="18" t="s">
        <v>5183</v>
      </c>
      <c r="N419" s="18" t="s">
        <v>1365</v>
      </c>
      <c r="T419" s="18" t="s">
        <v>111</v>
      </c>
      <c r="U419" s="18" t="s">
        <v>5250</v>
      </c>
      <c r="V419" s="18" t="s">
        <v>113</v>
      </c>
      <c r="W419" s="18" t="s">
        <v>5124</v>
      </c>
      <c r="Y419" s="18" t="s">
        <v>5162</v>
      </c>
      <c r="Z419" s="18" t="s">
        <v>113</v>
      </c>
      <c r="AA419" s="18" t="s">
        <v>5163</v>
      </c>
      <c r="AB419" s="18" t="s">
        <v>179</v>
      </c>
      <c r="AC419" s="18" t="s">
        <v>111</v>
      </c>
      <c r="AD419" s="18" t="s">
        <v>111</v>
      </c>
      <c r="AE419" s="18" t="s">
        <v>111</v>
      </c>
      <c r="AF419" s="18" t="s">
        <v>111</v>
      </c>
      <c r="AG419" s="18" t="s">
        <v>5127</v>
      </c>
      <c r="AH419" s="18" t="s">
        <v>111</v>
      </c>
      <c r="AI419" s="18">
        <v>1</v>
      </c>
      <c r="AK419" s="18" t="s">
        <v>5164</v>
      </c>
      <c r="AN419" s="18">
        <v>100</v>
      </c>
      <c r="AO419" s="18" t="s">
        <v>5391</v>
      </c>
      <c r="AP419" s="18" t="s">
        <v>6462</v>
      </c>
      <c r="AQ419" s="18" t="s">
        <v>5252</v>
      </c>
      <c r="AR419" s="18" t="s">
        <v>179</v>
      </c>
      <c r="AT419" s="17">
        <f>(365*D419*0.7)/1000</f>
        <v>1345.7184999999999</v>
      </c>
      <c r="AU419" s="17">
        <f t="shared" si="22"/>
        <v>0</v>
      </c>
      <c r="AV419" s="18">
        <v>0</v>
      </c>
      <c r="AW419" s="18">
        <v>0</v>
      </c>
      <c r="AY419" s="18" t="s">
        <v>5451</v>
      </c>
      <c r="AZ419" s="18">
        <v>0</v>
      </c>
      <c r="BG419" s="18" t="s">
        <v>164</v>
      </c>
      <c r="BQ419" s="18">
        <v>10</v>
      </c>
      <c r="BR419" s="18">
        <v>10</v>
      </c>
      <c r="BS419" s="18">
        <v>25</v>
      </c>
      <c r="BT419" s="18">
        <v>0</v>
      </c>
      <c r="BU419" s="18">
        <v>5</v>
      </c>
      <c r="BV419" s="18">
        <v>50</v>
      </c>
      <c r="BW419" s="15">
        <f t="shared" si="23"/>
        <v>50</v>
      </c>
      <c r="BY419" s="18" t="s">
        <v>5134</v>
      </c>
      <c r="BZ419" s="18" t="s">
        <v>193</v>
      </c>
      <c r="CD419" s="18" t="s">
        <v>5127</v>
      </c>
      <c r="CE419" s="18" t="s">
        <v>111</v>
      </c>
      <c r="CF419" s="18" t="s">
        <v>5135</v>
      </c>
      <c r="CG419" s="18" t="s">
        <v>5313</v>
      </c>
      <c r="CH419" s="18" t="s">
        <v>111</v>
      </c>
      <c r="CI419" s="18" t="s">
        <v>5138</v>
      </c>
      <c r="CJ419" s="18" t="s">
        <v>5196</v>
      </c>
      <c r="CK419" s="18" t="s">
        <v>5171</v>
      </c>
      <c r="CL419" s="18">
        <v>1</v>
      </c>
      <c r="CM419" s="18">
        <v>0</v>
      </c>
      <c r="CN419" s="18">
        <v>0</v>
      </c>
      <c r="CO419" s="18">
        <v>0</v>
      </c>
      <c r="CP419" s="18">
        <v>1</v>
      </c>
      <c r="CQ419" s="18">
        <v>1</v>
      </c>
      <c r="CR419" s="18">
        <v>0</v>
      </c>
      <c r="CS419" s="18" t="s">
        <v>5141</v>
      </c>
      <c r="CT419" s="18">
        <v>0</v>
      </c>
      <c r="CU419" s="18">
        <v>0</v>
      </c>
      <c r="CV419" s="18">
        <v>0</v>
      </c>
      <c r="CX419" s="18">
        <v>0</v>
      </c>
      <c r="CY419" s="18">
        <v>0</v>
      </c>
      <c r="CZ419" s="18">
        <v>1</v>
      </c>
      <c r="DA419" s="18">
        <v>1</v>
      </c>
      <c r="DB419" s="18">
        <v>1</v>
      </c>
      <c r="DC419" s="18">
        <v>1</v>
      </c>
      <c r="DD419" s="18">
        <v>1</v>
      </c>
      <c r="DE419" s="18">
        <v>0</v>
      </c>
      <c r="DF419" s="18">
        <v>0</v>
      </c>
      <c r="DG419" s="18">
        <v>1</v>
      </c>
      <c r="DH419" s="18">
        <v>1</v>
      </c>
      <c r="DI419" s="18">
        <v>1</v>
      </c>
      <c r="DK419" s="18">
        <v>0</v>
      </c>
      <c r="DL419" s="18">
        <v>1</v>
      </c>
      <c r="DM419" s="18" t="s">
        <v>5127</v>
      </c>
      <c r="DN419" s="18" t="s">
        <v>5299</v>
      </c>
      <c r="DO419" s="18" t="s">
        <v>5259</v>
      </c>
      <c r="DP419" s="18" t="s">
        <v>113</v>
      </c>
      <c r="DQ419" s="18" t="s">
        <v>179</v>
      </c>
      <c r="DS419" s="18">
        <v>0</v>
      </c>
      <c r="DT419" s="18">
        <v>0</v>
      </c>
      <c r="DU419" s="18">
        <v>1</v>
      </c>
      <c r="DV419" s="18" t="s">
        <v>5272</v>
      </c>
      <c r="DX419" s="18" t="s">
        <v>5222</v>
      </c>
      <c r="DY419" s="18" t="s">
        <v>106</v>
      </c>
      <c r="DZ419" s="18" t="s">
        <v>113</v>
      </c>
      <c r="EA419" s="18" t="s">
        <v>5285</v>
      </c>
      <c r="EB419" s="18">
        <v>50</v>
      </c>
      <c r="EC419" s="18" t="s">
        <v>113</v>
      </c>
      <c r="ED419" s="18" t="s">
        <v>5147</v>
      </c>
      <c r="EE419" s="18" t="s">
        <v>113</v>
      </c>
      <c r="EF419" s="18" t="s">
        <v>113</v>
      </c>
      <c r="EG419" s="18" t="s">
        <v>5148</v>
      </c>
      <c r="EH419" s="18" t="s">
        <v>5149</v>
      </c>
      <c r="EI419" s="18" t="s">
        <v>5150</v>
      </c>
      <c r="EJ419" s="18" t="s">
        <v>5343</v>
      </c>
      <c r="EK419" s="18" t="s">
        <v>113</v>
      </c>
      <c r="EN419" s="18" t="s">
        <v>113</v>
      </c>
      <c r="EO419" s="18" t="s">
        <v>113</v>
      </c>
      <c r="EP419" s="18" t="s">
        <v>113</v>
      </c>
      <c r="EQ419" s="18" t="s">
        <v>113</v>
      </c>
      <c r="ER419" s="18" t="s">
        <v>5152</v>
      </c>
      <c r="ES419" s="18" t="s">
        <v>5153</v>
      </c>
      <c r="ET419" s="18" t="s">
        <v>5154</v>
      </c>
      <c r="EU419" s="18" t="s">
        <v>5318</v>
      </c>
      <c r="EV419" s="18" t="s">
        <v>179</v>
      </c>
      <c r="EW419" s="18" t="s">
        <v>5406</v>
      </c>
      <c r="EX419" s="18" t="s">
        <v>5158</v>
      </c>
      <c r="EY419" s="18" t="s">
        <v>5292</v>
      </c>
      <c r="EZ419" s="18" t="s">
        <v>5160</v>
      </c>
    </row>
    <row r="420" spans="1:158" ht="10.5" customHeight="1" x14ac:dyDescent="0.2">
      <c r="A420" s="16">
        <v>41</v>
      </c>
      <c r="B420" s="16" t="s">
        <v>4032</v>
      </c>
      <c r="C420" s="16" t="s">
        <v>4031</v>
      </c>
      <c r="D420" s="16">
        <v>15636</v>
      </c>
      <c r="E420" s="16" t="s">
        <v>6658</v>
      </c>
      <c r="F420" s="18" t="s">
        <v>4031</v>
      </c>
      <c r="G420" s="18" t="s">
        <v>113</v>
      </c>
      <c r="H420" s="15" t="s">
        <v>111</v>
      </c>
      <c r="AT420" s="17">
        <f>(365*D420*0.7)/1000</f>
        <v>3994.9979999999996</v>
      </c>
      <c r="AU420" s="17">
        <f t="shared" si="22"/>
        <v>0</v>
      </c>
      <c r="BW420" s="15">
        <f t="shared" si="23"/>
        <v>0</v>
      </c>
    </row>
    <row r="421" spans="1:158" ht="10.5" customHeight="1" x14ac:dyDescent="0.2">
      <c r="A421" s="16">
        <v>41</v>
      </c>
      <c r="B421" s="16" t="s">
        <v>4044</v>
      </c>
      <c r="C421" s="16" t="s">
        <v>4043</v>
      </c>
      <c r="D421" s="16">
        <v>3386</v>
      </c>
      <c r="E421" s="16" t="s">
        <v>6656</v>
      </c>
      <c r="F421" s="18" t="s">
        <v>4043</v>
      </c>
      <c r="G421" s="18" t="s">
        <v>113</v>
      </c>
      <c r="H421" s="15" t="s">
        <v>111</v>
      </c>
      <c r="AT421" s="17">
        <f>(365*D421*0.7)/1000</f>
        <v>865.12300000000005</v>
      </c>
      <c r="AU421" s="17">
        <f t="shared" si="22"/>
        <v>0</v>
      </c>
      <c r="BW421" s="15">
        <f t="shared" si="23"/>
        <v>0</v>
      </c>
    </row>
    <row r="422" spans="1:158" ht="10.5" customHeight="1" x14ac:dyDescent="0.2">
      <c r="A422" s="16">
        <v>41</v>
      </c>
      <c r="B422" s="16" t="s">
        <v>4063</v>
      </c>
      <c r="C422" s="16" t="s">
        <v>4062</v>
      </c>
      <c r="D422" s="16">
        <v>3375</v>
      </c>
      <c r="E422" s="16" t="s">
        <v>6656</v>
      </c>
      <c r="F422" s="18" t="s">
        <v>4062</v>
      </c>
      <c r="G422" s="18" t="s">
        <v>106</v>
      </c>
      <c r="H422" s="15" t="s">
        <v>5127</v>
      </c>
      <c r="I422" s="18">
        <v>7</v>
      </c>
      <c r="J422" s="18">
        <v>3</v>
      </c>
      <c r="K422" s="18">
        <v>4</v>
      </c>
      <c r="M422" s="18" t="s">
        <v>5183</v>
      </c>
      <c r="N422" s="18" t="s">
        <v>3702</v>
      </c>
      <c r="T422" s="18" t="s">
        <v>111</v>
      </c>
      <c r="U422" s="18" t="s">
        <v>5123</v>
      </c>
      <c r="V422" s="18" t="s">
        <v>113</v>
      </c>
      <c r="W422" s="18" t="s">
        <v>5124</v>
      </c>
      <c r="Y422" s="18" t="s">
        <v>5232</v>
      </c>
      <c r="Z422" s="18" t="s">
        <v>113</v>
      </c>
      <c r="AA422" s="18" t="s">
        <v>5163</v>
      </c>
      <c r="AB422" s="18" t="s">
        <v>179</v>
      </c>
      <c r="AC422" s="18" t="s">
        <v>111</v>
      </c>
      <c r="AD422" s="18" t="s">
        <v>111</v>
      </c>
      <c r="AE422" s="18" t="s">
        <v>111</v>
      </c>
      <c r="AF422" s="18" t="s">
        <v>111</v>
      </c>
      <c r="AG422" s="18" t="s">
        <v>5127</v>
      </c>
      <c r="AH422" s="18" t="s">
        <v>111</v>
      </c>
      <c r="AI422" s="18">
        <v>1</v>
      </c>
      <c r="AK422" s="18" t="s">
        <v>5164</v>
      </c>
      <c r="AN422" s="18">
        <v>0</v>
      </c>
      <c r="AO422" s="18" t="s">
        <v>5186</v>
      </c>
      <c r="AP422" s="18" t="s">
        <v>6463</v>
      </c>
      <c r="AQ422" s="18" t="s">
        <v>5252</v>
      </c>
      <c r="AR422" s="18" t="s">
        <v>179</v>
      </c>
      <c r="AT422" s="17">
        <f>(365*D422*0.7)/1000</f>
        <v>862.3125</v>
      </c>
      <c r="AU422" s="17">
        <f t="shared" si="22"/>
        <v>0</v>
      </c>
      <c r="AV422" s="18">
        <v>0</v>
      </c>
      <c r="AW422" s="18">
        <v>0</v>
      </c>
      <c r="AY422" s="18" t="s">
        <v>5237</v>
      </c>
      <c r="BG422" s="18" t="s">
        <v>5663</v>
      </c>
      <c r="BQ422" s="18">
        <v>18</v>
      </c>
      <c r="BR422" s="18">
        <v>15</v>
      </c>
      <c r="BS422" s="18">
        <v>5</v>
      </c>
      <c r="BT422" s="18">
        <v>15</v>
      </c>
      <c r="BU422" s="18">
        <v>1</v>
      </c>
      <c r="BV422" s="18">
        <v>54</v>
      </c>
      <c r="BW422" s="15">
        <f t="shared" si="23"/>
        <v>54</v>
      </c>
      <c r="BY422" s="18" t="s">
        <v>5134</v>
      </c>
      <c r="BZ422" s="18" t="s">
        <v>193</v>
      </c>
      <c r="CD422" s="18" t="s">
        <v>5127</v>
      </c>
      <c r="CE422" s="18" t="s">
        <v>111</v>
      </c>
      <c r="CF422" s="18" t="s">
        <v>5135</v>
      </c>
      <c r="CG422" s="18" t="s">
        <v>5512</v>
      </c>
      <c r="CH422" s="18" t="s">
        <v>111</v>
      </c>
      <c r="CI422" s="18" t="s">
        <v>5138</v>
      </c>
      <c r="CJ422" s="18" t="s">
        <v>5139</v>
      </c>
      <c r="CK422" s="18" t="s">
        <v>179</v>
      </c>
      <c r="CL422" s="18">
        <v>2</v>
      </c>
      <c r="CM422" s="18">
        <v>0</v>
      </c>
      <c r="CN422" s="18">
        <v>0</v>
      </c>
      <c r="CO422" s="18">
        <v>1</v>
      </c>
      <c r="CP422" s="18">
        <v>0</v>
      </c>
      <c r="CQ422" s="18">
        <v>0</v>
      </c>
      <c r="CR422" s="18">
        <v>0</v>
      </c>
      <c r="CS422" s="18" t="s">
        <v>5141</v>
      </c>
      <c r="CT422" s="18">
        <v>1</v>
      </c>
      <c r="CU422" s="18">
        <v>0</v>
      </c>
      <c r="CV422" s="18" t="s">
        <v>5141</v>
      </c>
      <c r="CX422" s="18">
        <v>0</v>
      </c>
      <c r="CY422" s="18">
        <v>0</v>
      </c>
      <c r="CZ422" s="18">
        <v>0</v>
      </c>
      <c r="DA422" s="18">
        <v>0</v>
      </c>
      <c r="DB422" s="18">
        <v>0</v>
      </c>
      <c r="DC422" s="18">
        <v>1</v>
      </c>
      <c r="DD422" s="18">
        <v>0</v>
      </c>
      <c r="DE422" s="18">
        <v>0</v>
      </c>
      <c r="DF422" s="18">
        <v>0</v>
      </c>
      <c r="DG422" s="18">
        <v>0</v>
      </c>
      <c r="DH422" s="18" t="s">
        <v>5141</v>
      </c>
      <c r="DI422" s="18">
        <v>0</v>
      </c>
      <c r="DK422" s="18">
        <v>0</v>
      </c>
      <c r="DL422" s="18">
        <v>1</v>
      </c>
      <c r="DM422" s="18" t="s">
        <v>5127</v>
      </c>
      <c r="DN422" s="18" t="s">
        <v>5172</v>
      </c>
      <c r="DO422" s="18" t="s">
        <v>5259</v>
      </c>
      <c r="DP422" s="18" t="s">
        <v>106</v>
      </c>
      <c r="DQ422" s="18" t="s">
        <v>179</v>
      </c>
      <c r="DS422" s="18">
        <v>0</v>
      </c>
      <c r="DT422" s="18">
        <v>0</v>
      </c>
      <c r="DU422" s="18">
        <v>1</v>
      </c>
      <c r="DV422" s="18" t="s">
        <v>6464</v>
      </c>
      <c r="DX422" s="18" t="s">
        <v>5145</v>
      </c>
      <c r="DY422" s="18" t="s">
        <v>113</v>
      </c>
      <c r="DZ422" s="18" t="s">
        <v>113</v>
      </c>
      <c r="EA422" s="18" t="s">
        <v>5146</v>
      </c>
      <c r="EB422" s="18">
        <v>54</v>
      </c>
      <c r="EC422" s="18" t="s">
        <v>113</v>
      </c>
      <c r="ED422" s="18" t="s">
        <v>5147</v>
      </c>
      <c r="EE422" s="18" t="s">
        <v>113</v>
      </c>
      <c r="EF422" s="18" t="s">
        <v>113</v>
      </c>
      <c r="EG422" s="18" t="s">
        <v>5148</v>
      </c>
      <c r="EH422" s="18" t="s">
        <v>5203</v>
      </c>
      <c r="EI422" s="18" t="s">
        <v>5204</v>
      </c>
      <c r="EJ422" s="18" t="s">
        <v>5521</v>
      </c>
      <c r="EK422" s="18" t="s">
        <v>113</v>
      </c>
      <c r="EM422" s="18" t="s">
        <v>5227</v>
      </c>
      <c r="EN422" s="18" t="s">
        <v>113</v>
      </c>
      <c r="EO422" s="18" t="s">
        <v>113</v>
      </c>
      <c r="EP422" s="18" t="s">
        <v>113</v>
      </c>
      <c r="EQ422" s="18" t="s">
        <v>113</v>
      </c>
      <c r="ER422" s="18" t="s">
        <v>5289</v>
      </c>
      <c r="ES422" s="18" t="s">
        <v>5317</v>
      </c>
      <c r="ET422" s="18" t="s">
        <v>5154</v>
      </c>
      <c r="EU422" s="18" t="s">
        <v>5155</v>
      </c>
      <c r="EV422" s="18" t="s">
        <v>6163</v>
      </c>
      <c r="EW422" s="18" t="s">
        <v>5277</v>
      </c>
      <c r="EX422" s="18" t="s">
        <v>5158</v>
      </c>
      <c r="EY422" s="18" t="s">
        <v>5229</v>
      </c>
      <c r="EZ422" s="18" t="s">
        <v>5160</v>
      </c>
      <c r="FA422" s="18" t="s">
        <v>144</v>
      </c>
      <c r="FB422" s="18" t="s">
        <v>5161</v>
      </c>
    </row>
    <row r="423" spans="1:158" ht="10.5" customHeight="1" x14ac:dyDescent="0.2">
      <c r="A423" s="16">
        <v>41</v>
      </c>
      <c r="B423" s="16" t="s">
        <v>4072</v>
      </c>
      <c r="C423" s="16" t="s">
        <v>4071</v>
      </c>
      <c r="D423" s="16">
        <v>8806</v>
      </c>
      <c r="E423" s="16" t="s">
        <v>6656</v>
      </c>
      <c r="F423" s="18" t="s">
        <v>4071</v>
      </c>
      <c r="G423" s="18" t="s">
        <v>106</v>
      </c>
      <c r="H423" s="15" t="s">
        <v>5127</v>
      </c>
      <c r="I423" s="18">
        <v>5</v>
      </c>
      <c r="J423" s="18">
        <v>5</v>
      </c>
      <c r="K423" s="18">
        <v>0</v>
      </c>
      <c r="L423" s="18">
        <v>0</v>
      </c>
      <c r="M423" s="18" t="s">
        <v>5183</v>
      </c>
      <c r="N423" s="18" t="s">
        <v>6465</v>
      </c>
      <c r="O423" s="18">
        <v>46264</v>
      </c>
      <c r="T423" s="18" t="s">
        <v>6058</v>
      </c>
      <c r="U423" s="18" t="s">
        <v>5250</v>
      </c>
      <c r="V423" s="18" t="s">
        <v>113</v>
      </c>
      <c r="W423" s="18" t="s">
        <v>5211</v>
      </c>
      <c r="Y423" s="18" t="s">
        <v>5162</v>
      </c>
      <c r="Z423" s="18" t="s">
        <v>113</v>
      </c>
      <c r="AA423" s="18" t="s">
        <v>5163</v>
      </c>
      <c r="AB423" s="18" t="s">
        <v>5233</v>
      </c>
      <c r="AC423" s="18" t="s">
        <v>111</v>
      </c>
      <c r="AD423" s="18" t="s">
        <v>111</v>
      </c>
      <c r="AE423" s="18" t="s">
        <v>111</v>
      </c>
      <c r="AF423" s="18" t="s">
        <v>111</v>
      </c>
      <c r="AG423" s="18" t="s">
        <v>5127</v>
      </c>
      <c r="AH423" s="18" t="s">
        <v>111</v>
      </c>
      <c r="AI423" s="18">
        <v>1</v>
      </c>
      <c r="AK423" s="18" t="s">
        <v>5164</v>
      </c>
      <c r="AN423" s="18">
        <v>0</v>
      </c>
      <c r="AO423" s="18" t="s">
        <v>5391</v>
      </c>
      <c r="AP423" s="18" t="s">
        <v>6466</v>
      </c>
      <c r="AQ423" s="18" t="s">
        <v>5826</v>
      </c>
      <c r="AR423" s="18" t="s">
        <v>5168</v>
      </c>
      <c r="AT423" s="17">
        <f>(365*D423*0.7)/1000</f>
        <v>2249.933</v>
      </c>
      <c r="AU423" s="17">
        <f t="shared" si="22"/>
        <v>82</v>
      </c>
      <c r="AV423" s="18">
        <v>82</v>
      </c>
      <c r="AW423" s="18">
        <v>0</v>
      </c>
      <c r="AY423" s="18" t="s">
        <v>164</v>
      </c>
      <c r="BG423" s="18" t="s">
        <v>5281</v>
      </c>
      <c r="BQ423" s="18">
        <v>34</v>
      </c>
      <c r="BR423" s="18">
        <v>24</v>
      </c>
      <c r="BS423" s="18">
        <v>15</v>
      </c>
      <c r="BT423" s="18">
        <v>15</v>
      </c>
      <c r="BU423" s="18">
        <v>11</v>
      </c>
      <c r="BV423" s="18">
        <v>99</v>
      </c>
      <c r="BW423" s="15">
        <f t="shared" si="23"/>
        <v>99</v>
      </c>
      <c r="BY423" s="18" t="s">
        <v>5134</v>
      </c>
      <c r="BZ423" s="18" t="s">
        <v>5240</v>
      </c>
      <c r="CD423" s="18" t="s">
        <v>5127</v>
      </c>
      <c r="CE423" s="18" t="s">
        <v>111</v>
      </c>
      <c r="CF423" s="18" t="s">
        <v>5135</v>
      </c>
      <c r="CG423" s="18" t="s">
        <v>5590</v>
      </c>
      <c r="CH423" s="18" t="s">
        <v>5556</v>
      </c>
      <c r="CI423" s="18" t="s">
        <v>5195</v>
      </c>
      <c r="CJ423" s="18" t="s">
        <v>5139</v>
      </c>
      <c r="CK423" s="18" t="s">
        <v>5197</v>
      </c>
      <c r="CL423" s="18">
        <v>1</v>
      </c>
      <c r="CM423" s="18">
        <v>0</v>
      </c>
      <c r="CN423" s="18">
        <v>0</v>
      </c>
      <c r="CO423" s="18">
        <v>1</v>
      </c>
      <c r="CP423" s="18">
        <v>1</v>
      </c>
      <c r="CQ423" s="18">
        <v>1</v>
      </c>
      <c r="CR423" s="18">
        <v>0</v>
      </c>
      <c r="CS423" s="18" t="s">
        <v>5141</v>
      </c>
      <c r="CT423" s="18">
        <v>0</v>
      </c>
      <c r="CU423" s="18">
        <v>0</v>
      </c>
      <c r="CV423" s="18">
        <v>1</v>
      </c>
      <c r="CX423" s="18">
        <v>0</v>
      </c>
      <c r="CY423" s="18">
        <v>1</v>
      </c>
      <c r="CZ423" s="18">
        <v>0</v>
      </c>
      <c r="DA423" s="18">
        <v>0</v>
      </c>
      <c r="DB423" s="18">
        <v>0</v>
      </c>
      <c r="DC423" s="18">
        <v>0</v>
      </c>
      <c r="DD423" s="18">
        <v>0</v>
      </c>
      <c r="DE423" s="18">
        <v>0</v>
      </c>
      <c r="DF423" s="18">
        <v>0</v>
      </c>
      <c r="DG423" s="18">
        <v>0</v>
      </c>
      <c r="DH423" s="18">
        <v>0</v>
      </c>
      <c r="DI423" s="18">
        <v>0</v>
      </c>
      <c r="DK423" s="18">
        <v>0</v>
      </c>
      <c r="DL423" s="18">
        <v>1</v>
      </c>
      <c r="DM423" s="18" t="s">
        <v>5127</v>
      </c>
      <c r="DN423" s="18" t="s">
        <v>5299</v>
      </c>
      <c r="DO423" s="18" t="s">
        <v>5665</v>
      </c>
      <c r="DP423" s="18" t="s">
        <v>113</v>
      </c>
      <c r="DS423" s="18">
        <v>0</v>
      </c>
      <c r="DT423" s="18">
        <v>0</v>
      </c>
      <c r="DU423" s="18">
        <v>1</v>
      </c>
      <c r="DV423" s="18" t="s">
        <v>5444</v>
      </c>
      <c r="DX423" s="18" t="s">
        <v>5201</v>
      </c>
      <c r="DY423" s="18" t="s">
        <v>106</v>
      </c>
      <c r="DZ423" s="18" t="s">
        <v>113</v>
      </c>
      <c r="EA423" s="18" t="s">
        <v>5146</v>
      </c>
      <c r="EB423" s="18">
        <v>99</v>
      </c>
      <c r="EC423" s="18" t="s">
        <v>113</v>
      </c>
      <c r="ED423" s="18" t="s">
        <v>5147</v>
      </c>
      <c r="EE423" s="18" t="s">
        <v>113</v>
      </c>
      <c r="EF423" s="18" t="s">
        <v>113</v>
      </c>
      <c r="EG423" s="18" t="s">
        <v>5404</v>
      </c>
      <c r="EH423" s="18" t="s">
        <v>5203</v>
      </c>
      <c r="EI423" s="18" t="s">
        <v>5204</v>
      </c>
      <c r="EJ423" s="18" t="s">
        <v>5245</v>
      </c>
      <c r="EK423" s="18" t="s">
        <v>113</v>
      </c>
      <c r="EN423" s="18" t="s">
        <v>106</v>
      </c>
      <c r="EO423" s="18" t="s">
        <v>113</v>
      </c>
      <c r="EP423" s="18" t="s">
        <v>113</v>
      </c>
      <c r="EQ423" s="18" t="s">
        <v>113</v>
      </c>
      <c r="ER423" s="18" t="s">
        <v>5152</v>
      </c>
      <c r="ES423" s="18" t="s">
        <v>5744</v>
      </c>
      <c r="ET423" s="18" t="s">
        <v>5154</v>
      </c>
      <c r="EU423" s="18" t="s">
        <v>5155</v>
      </c>
      <c r="EV423" s="18" t="s">
        <v>5566</v>
      </c>
      <c r="EW423" s="18" t="s">
        <v>5406</v>
      </c>
      <c r="EX423" s="18" t="s">
        <v>5158</v>
      </c>
      <c r="EY423" s="18" t="s">
        <v>5229</v>
      </c>
      <c r="EZ423" s="18" t="s">
        <v>5160</v>
      </c>
      <c r="FA423" s="18" t="s">
        <v>144</v>
      </c>
      <c r="FB423" s="18" t="s">
        <v>5161</v>
      </c>
    </row>
    <row r="424" spans="1:158" ht="10.5" customHeight="1" x14ac:dyDescent="0.2">
      <c r="A424" s="16">
        <v>41</v>
      </c>
      <c r="B424" s="16" t="s">
        <v>4086</v>
      </c>
      <c r="C424" s="16" t="s">
        <v>4085</v>
      </c>
      <c r="D424" s="16">
        <v>11669</v>
      </c>
      <c r="E424" s="16" t="s">
        <v>6656</v>
      </c>
      <c r="F424" s="18" t="s">
        <v>4085</v>
      </c>
      <c r="G424" s="18" t="s">
        <v>106</v>
      </c>
      <c r="H424" s="15" t="s">
        <v>5127</v>
      </c>
      <c r="I424" s="18">
        <v>7</v>
      </c>
      <c r="J424" s="18">
        <v>3</v>
      </c>
      <c r="K424" s="18">
        <v>4</v>
      </c>
      <c r="L424" s="18">
        <v>0</v>
      </c>
      <c r="M424" s="18" t="s">
        <v>5183</v>
      </c>
      <c r="N424" s="18" t="s">
        <v>948</v>
      </c>
      <c r="T424" s="18" t="s">
        <v>111</v>
      </c>
      <c r="U424" s="18" t="s">
        <v>5123</v>
      </c>
      <c r="V424" s="18" t="s">
        <v>106</v>
      </c>
      <c r="W424" s="18" t="s">
        <v>5124</v>
      </c>
      <c r="Y424" s="18" t="s">
        <v>5162</v>
      </c>
      <c r="Z424" s="18" t="s">
        <v>106</v>
      </c>
      <c r="AA424" s="18" t="s">
        <v>5163</v>
      </c>
      <c r="AB424" s="18" t="s">
        <v>179</v>
      </c>
      <c r="AC424" s="18" t="s">
        <v>5127</v>
      </c>
      <c r="AD424" s="18" t="s">
        <v>5127</v>
      </c>
      <c r="AE424" s="18" t="s">
        <v>5127</v>
      </c>
      <c r="AF424" s="18" t="s">
        <v>5127</v>
      </c>
      <c r="AG424" s="18" t="s">
        <v>5127</v>
      </c>
      <c r="AH424" s="18" t="s">
        <v>111</v>
      </c>
      <c r="AI424" s="18">
        <v>1</v>
      </c>
      <c r="AK424" s="18" t="s">
        <v>5128</v>
      </c>
      <c r="AN424" s="18">
        <v>0</v>
      </c>
      <c r="AO424" s="18" t="s">
        <v>5186</v>
      </c>
      <c r="AP424" s="18" t="s">
        <v>6467</v>
      </c>
      <c r="AQ424" s="18" t="s">
        <v>5252</v>
      </c>
      <c r="AR424" s="18" t="s">
        <v>179</v>
      </c>
      <c r="AT424" s="17">
        <f>(365*D424*0.7)/1000</f>
        <v>2981.4295000000002</v>
      </c>
      <c r="AU424" s="17">
        <f t="shared" si="22"/>
        <v>288</v>
      </c>
      <c r="AV424" s="18">
        <v>288</v>
      </c>
      <c r="AW424" s="18">
        <v>0</v>
      </c>
      <c r="AY424" s="18" t="s">
        <v>5334</v>
      </c>
      <c r="BD424" s="18">
        <v>0</v>
      </c>
      <c r="BG424" s="18" t="s">
        <v>5815</v>
      </c>
      <c r="BI424" s="18">
        <v>0</v>
      </c>
      <c r="BQ424" s="18">
        <v>118</v>
      </c>
      <c r="BR424" s="18">
        <v>10</v>
      </c>
      <c r="BS424" s="18">
        <v>4</v>
      </c>
      <c r="BT424" s="18">
        <v>36</v>
      </c>
      <c r="BU424" s="18">
        <v>24</v>
      </c>
      <c r="BV424" s="18">
        <v>192</v>
      </c>
      <c r="BW424" s="15">
        <f t="shared" si="23"/>
        <v>192</v>
      </c>
      <c r="BY424" s="18" t="s">
        <v>5134</v>
      </c>
      <c r="BZ424" s="18" t="s">
        <v>193</v>
      </c>
      <c r="CD424" s="18" t="s">
        <v>5127</v>
      </c>
      <c r="CE424" s="18" t="s">
        <v>5127</v>
      </c>
      <c r="CF424" s="18" t="s">
        <v>5282</v>
      </c>
      <c r="CG424" s="18" t="s">
        <v>6468</v>
      </c>
      <c r="CH424" s="18" t="s">
        <v>111</v>
      </c>
      <c r="CI424" s="18" t="s">
        <v>5138</v>
      </c>
      <c r="CJ424" s="18" t="s">
        <v>5139</v>
      </c>
      <c r="CK424" s="18" t="s">
        <v>5197</v>
      </c>
      <c r="CL424" s="18">
        <v>1</v>
      </c>
      <c r="CM424" s="18">
        <v>1</v>
      </c>
      <c r="CN424" s="18">
        <v>0</v>
      </c>
      <c r="CO424" s="18">
        <v>1</v>
      </c>
      <c r="CP424" s="18">
        <v>2</v>
      </c>
      <c r="CQ424" s="18">
        <v>1</v>
      </c>
      <c r="CR424" s="18">
        <v>0</v>
      </c>
      <c r="CS424" s="18" t="s">
        <v>5141</v>
      </c>
      <c r="CT424" s="18">
        <v>0</v>
      </c>
      <c r="CU424" s="18">
        <v>0</v>
      </c>
      <c r="CV424" s="18">
        <v>2</v>
      </c>
      <c r="CX424" s="18">
        <v>1</v>
      </c>
      <c r="CY424" s="18">
        <v>0</v>
      </c>
      <c r="CZ424" s="18">
        <v>0</v>
      </c>
      <c r="DA424" s="18">
        <v>1</v>
      </c>
      <c r="DB424" s="18">
        <v>1</v>
      </c>
      <c r="DC424" s="18">
        <v>0</v>
      </c>
      <c r="DD424" s="18">
        <v>1</v>
      </c>
      <c r="DE424" s="18">
        <v>1</v>
      </c>
      <c r="DF424" s="18" t="s">
        <v>5141</v>
      </c>
      <c r="DG424" s="18">
        <v>1</v>
      </c>
      <c r="DH424" s="18">
        <v>1</v>
      </c>
      <c r="DI424" s="18">
        <v>1</v>
      </c>
      <c r="DK424" s="18">
        <v>0</v>
      </c>
      <c r="DL424" s="18">
        <v>1</v>
      </c>
      <c r="DM424" s="18" t="s">
        <v>5127</v>
      </c>
      <c r="DN424" s="18" t="s">
        <v>5299</v>
      </c>
      <c r="DO424" s="18" t="s">
        <v>5259</v>
      </c>
      <c r="DP424" s="18" t="s">
        <v>106</v>
      </c>
      <c r="DS424" s="18">
        <v>0</v>
      </c>
      <c r="DT424" s="18">
        <v>1</v>
      </c>
      <c r="DU424" s="18">
        <v>1</v>
      </c>
      <c r="DV424" s="18" t="s">
        <v>5144</v>
      </c>
      <c r="DX424" s="18" t="s">
        <v>5222</v>
      </c>
      <c r="DY424" s="18" t="s">
        <v>106</v>
      </c>
      <c r="DZ424" s="18" t="s">
        <v>113</v>
      </c>
      <c r="EA424" s="18" t="s">
        <v>5261</v>
      </c>
      <c r="EB424" s="18">
        <v>192</v>
      </c>
      <c r="EC424" s="18" t="s">
        <v>106</v>
      </c>
      <c r="ED424" s="18" t="s">
        <v>5176</v>
      </c>
      <c r="EE424" s="18" t="s">
        <v>113</v>
      </c>
      <c r="EF424" s="18" t="s">
        <v>113</v>
      </c>
      <c r="EH424" s="18" t="s">
        <v>5149</v>
      </c>
      <c r="EI424" s="18" t="s">
        <v>5150</v>
      </c>
      <c r="EJ424" s="18" t="s">
        <v>6213</v>
      </c>
      <c r="EK424" s="18" t="s">
        <v>113</v>
      </c>
      <c r="EL424" s="18" t="s">
        <v>6469</v>
      </c>
      <c r="EM424" s="18" t="s">
        <v>5227</v>
      </c>
      <c r="EN424" s="18" t="s">
        <v>113</v>
      </c>
      <c r="EO424" s="18" t="s">
        <v>113</v>
      </c>
      <c r="EP424" s="18" t="s">
        <v>113</v>
      </c>
      <c r="EQ424" s="18" t="s">
        <v>113</v>
      </c>
      <c r="ER424" s="18" t="s">
        <v>5227</v>
      </c>
      <c r="ET424" s="18" t="s">
        <v>5154</v>
      </c>
      <c r="EU424" s="18" t="s">
        <v>5155</v>
      </c>
      <c r="EV424" s="18" t="s">
        <v>5499</v>
      </c>
      <c r="EW424" s="18" t="s">
        <v>6227</v>
      </c>
      <c r="EX424" s="18" t="s">
        <v>5158</v>
      </c>
      <c r="EY424" s="18" t="s">
        <v>5229</v>
      </c>
      <c r="FA424" s="18" t="s">
        <v>144</v>
      </c>
      <c r="FB424" s="18" t="s">
        <v>5161</v>
      </c>
    </row>
    <row r="425" spans="1:158" ht="10.5" customHeight="1" x14ac:dyDescent="0.2">
      <c r="A425" s="18">
        <v>41</v>
      </c>
      <c r="B425" s="18" t="s">
        <v>4100</v>
      </c>
      <c r="C425" s="18" t="s">
        <v>4099</v>
      </c>
      <c r="D425" s="18">
        <v>26341</v>
      </c>
      <c r="E425" s="16" t="s">
        <v>6658</v>
      </c>
      <c r="F425" s="18" t="s">
        <v>4099</v>
      </c>
      <c r="G425" s="18" t="s">
        <v>106</v>
      </c>
      <c r="H425" s="15" t="s">
        <v>5127</v>
      </c>
      <c r="I425" s="18">
        <v>68</v>
      </c>
      <c r="J425" s="18">
        <v>40</v>
      </c>
      <c r="K425" s="18">
        <v>28</v>
      </c>
      <c r="L425" s="18">
        <v>0</v>
      </c>
      <c r="M425" s="18" t="s">
        <v>5183</v>
      </c>
      <c r="N425" s="18" t="s">
        <v>1400</v>
      </c>
      <c r="O425" s="18">
        <v>46410</v>
      </c>
      <c r="T425" s="18" t="s">
        <v>111</v>
      </c>
      <c r="U425" s="18" t="s">
        <v>5123</v>
      </c>
      <c r="V425" s="18" t="s">
        <v>106</v>
      </c>
      <c r="W425" s="18" t="s">
        <v>5124</v>
      </c>
      <c r="Y425" s="18" t="s">
        <v>5555</v>
      </c>
      <c r="Z425" s="18" t="s">
        <v>106</v>
      </c>
      <c r="AA425" s="18" t="s">
        <v>5163</v>
      </c>
      <c r="AB425" s="18" t="s">
        <v>5233</v>
      </c>
      <c r="AC425" s="18" t="s">
        <v>5127</v>
      </c>
      <c r="AD425" s="18" t="s">
        <v>5127</v>
      </c>
      <c r="AE425" s="18" t="s">
        <v>5127</v>
      </c>
      <c r="AF425" s="18" t="s">
        <v>5127</v>
      </c>
      <c r="AG425" s="18" t="s">
        <v>5127</v>
      </c>
      <c r="AH425" s="18" t="s">
        <v>5127</v>
      </c>
      <c r="AI425" s="18">
        <v>2</v>
      </c>
      <c r="AK425" s="18" t="s">
        <v>5164</v>
      </c>
      <c r="AN425" s="18">
        <v>1080</v>
      </c>
      <c r="AO425" s="18" t="s">
        <v>5186</v>
      </c>
      <c r="AP425" s="18" t="s">
        <v>6470</v>
      </c>
      <c r="AQ425" s="18" t="s">
        <v>5393</v>
      </c>
      <c r="AR425" s="18" t="s">
        <v>5132</v>
      </c>
      <c r="AT425" s="17">
        <f>(365*D425*0.7)/1000</f>
        <v>6730.1255000000001</v>
      </c>
      <c r="AU425" s="17">
        <f t="shared" si="22"/>
        <v>0</v>
      </c>
      <c r="AV425" s="18">
        <v>0</v>
      </c>
      <c r="AW425" s="18">
        <v>0</v>
      </c>
      <c r="AY425" s="18" t="s">
        <v>5569</v>
      </c>
      <c r="AZ425" s="18">
        <v>0</v>
      </c>
      <c r="BA425" s="18">
        <v>0</v>
      </c>
      <c r="BB425" s="18">
        <v>0</v>
      </c>
      <c r="BD425" s="18">
        <v>0</v>
      </c>
      <c r="BE425" s="18">
        <v>0</v>
      </c>
      <c r="BG425" s="18" t="s">
        <v>5238</v>
      </c>
      <c r="BH425" s="18">
        <f>12/1000</f>
        <v>1.2E-2</v>
      </c>
      <c r="BI425" s="18">
        <f>2000/1000</f>
        <v>2</v>
      </c>
      <c r="BJ425" s="18">
        <f>4000/1000</f>
        <v>4</v>
      </c>
      <c r="BQ425" s="18">
        <v>558</v>
      </c>
      <c r="BR425" s="18">
        <v>327</v>
      </c>
      <c r="BS425" s="18">
        <v>92</v>
      </c>
      <c r="BT425" s="18">
        <v>146</v>
      </c>
      <c r="BU425" s="18">
        <v>0</v>
      </c>
      <c r="BV425" s="18">
        <f>SUM(BQ425:BU425)</f>
        <v>1123</v>
      </c>
      <c r="BW425" s="15">
        <f t="shared" si="23"/>
        <v>1123</v>
      </c>
      <c r="BY425" s="18" t="s">
        <v>5134</v>
      </c>
      <c r="BZ425" s="18" t="s">
        <v>5312</v>
      </c>
      <c r="CD425" s="18" t="s">
        <v>5127</v>
      </c>
      <c r="CE425" s="18" t="s">
        <v>111</v>
      </c>
      <c r="CF425" s="18" t="s">
        <v>5282</v>
      </c>
      <c r="CG425" s="18" t="s">
        <v>5193</v>
      </c>
      <c r="CH425" s="18" t="s">
        <v>6425</v>
      </c>
      <c r="CI425" s="18" t="s">
        <v>5195</v>
      </c>
      <c r="CJ425" s="18" t="s">
        <v>5636</v>
      </c>
      <c r="CK425" s="18" t="s">
        <v>5197</v>
      </c>
      <c r="CL425" s="18">
        <v>5</v>
      </c>
      <c r="CM425" s="18">
        <v>1</v>
      </c>
      <c r="CN425" s="18">
        <v>0</v>
      </c>
      <c r="CO425" s="18">
        <v>0</v>
      </c>
      <c r="CP425" s="18">
        <v>4</v>
      </c>
      <c r="CQ425" s="18">
        <v>1</v>
      </c>
      <c r="CR425" s="18">
        <v>0</v>
      </c>
      <c r="CS425" s="18" t="s">
        <v>5141</v>
      </c>
      <c r="CT425" s="18">
        <v>0</v>
      </c>
      <c r="CU425" s="18">
        <v>0</v>
      </c>
      <c r="CV425" s="18" t="s">
        <v>5141</v>
      </c>
      <c r="CX425" s="18">
        <v>0</v>
      </c>
      <c r="CY425" s="18">
        <v>2</v>
      </c>
      <c r="CZ425" s="18">
        <v>1</v>
      </c>
      <c r="DA425" s="18">
        <v>1</v>
      </c>
      <c r="DB425" s="18">
        <v>2</v>
      </c>
      <c r="DC425" s="18">
        <v>1</v>
      </c>
      <c r="DD425" s="18">
        <v>1</v>
      </c>
      <c r="DE425" s="18" t="s">
        <v>5141</v>
      </c>
      <c r="DF425" s="18" t="s">
        <v>5141</v>
      </c>
      <c r="DG425" s="18">
        <v>0</v>
      </c>
      <c r="DH425" s="18">
        <v>2</v>
      </c>
      <c r="DI425" s="18" t="s">
        <v>5141</v>
      </c>
      <c r="DK425" s="18">
        <v>1</v>
      </c>
      <c r="DL425" s="18">
        <v>0</v>
      </c>
      <c r="DM425" s="18" t="s">
        <v>5127</v>
      </c>
      <c r="DN425" s="18" t="s">
        <v>5142</v>
      </c>
      <c r="DO425" s="18" t="s">
        <v>5488</v>
      </c>
      <c r="DP425" s="18" t="s">
        <v>113</v>
      </c>
      <c r="DQ425" s="18" t="s">
        <v>179</v>
      </c>
      <c r="DS425" s="18">
        <v>0</v>
      </c>
      <c r="DT425" s="18">
        <v>2</v>
      </c>
      <c r="DU425" s="18">
        <v>3</v>
      </c>
      <c r="DV425" s="18" t="s">
        <v>5377</v>
      </c>
      <c r="DX425" s="18" t="s">
        <v>5222</v>
      </c>
      <c r="DY425" s="18" t="s">
        <v>106</v>
      </c>
      <c r="DZ425" s="18" t="s">
        <v>113</v>
      </c>
      <c r="EA425" s="18" t="s">
        <v>5146</v>
      </c>
      <c r="EB425" s="18">
        <v>1080</v>
      </c>
      <c r="EC425" s="18" t="s">
        <v>106</v>
      </c>
      <c r="ED425" s="18" t="s">
        <v>5176</v>
      </c>
      <c r="EE425" s="18" t="s">
        <v>106</v>
      </c>
      <c r="EF425" s="18" t="s">
        <v>113</v>
      </c>
      <c r="EG425" s="18" t="s">
        <v>5810</v>
      </c>
      <c r="EH425" s="18" t="s">
        <v>5203</v>
      </c>
      <c r="EI425" s="18" t="s">
        <v>5204</v>
      </c>
      <c r="EJ425" s="18" t="s">
        <v>5245</v>
      </c>
      <c r="EK425" s="18" t="s">
        <v>113</v>
      </c>
      <c r="EM425" s="18" t="s">
        <v>5274</v>
      </c>
      <c r="EN425" s="18" t="s">
        <v>113</v>
      </c>
      <c r="EO425" s="18" t="s">
        <v>113</v>
      </c>
      <c r="EP425" s="18" t="s">
        <v>106</v>
      </c>
      <c r="EQ425" s="18" t="s">
        <v>113</v>
      </c>
      <c r="ER425" s="18" t="s">
        <v>5152</v>
      </c>
      <c r="ES425" s="18" t="s">
        <v>5153</v>
      </c>
      <c r="ET425" s="18" t="s">
        <v>5154</v>
      </c>
      <c r="EU425" s="18" t="s">
        <v>5318</v>
      </c>
      <c r="EV425" s="18" t="s">
        <v>5708</v>
      </c>
      <c r="EW425" s="18" t="s">
        <v>6450</v>
      </c>
      <c r="EX425" s="18" t="s">
        <v>5158</v>
      </c>
      <c r="EY425" s="18" t="s">
        <v>5229</v>
      </c>
      <c r="EZ425" s="18" t="s">
        <v>5160</v>
      </c>
      <c r="FA425" s="18" t="s">
        <v>144</v>
      </c>
      <c r="FB425" s="18" t="s">
        <v>5161</v>
      </c>
    </row>
    <row r="426" spans="1:158" ht="10.5" customHeight="1" x14ac:dyDescent="0.2">
      <c r="A426" s="18">
        <v>41</v>
      </c>
      <c r="B426" s="18" t="s">
        <v>186</v>
      </c>
      <c r="C426" s="18" t="s">
        <v>187</v>
      </c>
      <c r="D426" s="18">
        <v>1760</v>
      </c>
      <c r="E426" s="16" t="s">
        <v>6656</v>
      </c>
      <c r="H426" s="15" t="s">
        <v>6661</v>
      </c>
      <c r="AT426" s="17">
        <f>(365*D426*0.7)/1000</f>
        <v>449.68</v>
      </c>
      <c r="AU426" s="17">
        <f t="shared" si="22"/>
        <v>0</v>
      </c>
      <c r="BW426" s="15">
        <f t="shared" si="23"/>
        <v>0</v>
      </c>
    </row>
    <row r="427" spans="1:158" ht="10.5" customHeight="1" x14ac:dyDescent="0.2">
      <c r="A427" s="18">
        <v>41</v>
      </c>
      <c r="B427" s="18" t="s">
        <v>2591</v>
      </c>
      <c r="C427" s="18" t="s">
        <v>2592</v>
      </c>
      <c r="D427" s="18">
        <v>9059</v>
      </c>
      <c r="E427" s="16" t="s">
        <v>6656</v>
      </c>
      <c r="H427" s="15" t="s">
        <v>6661</v>
      </c>
      <c r="AT427" s="17">
        <f>(365*D427*0.7)/1000</f>
        <v>2314.5745000000002</v>
      </c>
      <c r="AU427" s="17">
        <f t="shared" si="22"/>
        <v>0</v>
      </c>
      <c r="BW427" s="15">
        <f t="shared" si="23"/>
        <v>0</v>
      </c>
    </row>
    <row r="428" spans="1:158" ht="10.5" customHeight="1" x14ac:dyDescent="0.2">
      <c r="A428" s="18">
        <v>41</v>
      </c>
      <c r="B428" s="18" t="s">
        <v>4116</v>
      </c>
      <c r="C428" s="18" t="s">
        <v>3549</v>
      </c>
      <c r="D428" s="18">
        <v>14385</v>
      </c>
      <c r="E428" s="16" t="s">
        <v>6656</v>
      </c>
      <c r="F428" s="18" t="s">
        <v>3549</v>
      </c>
      <c r="G428" s="18" t="s">
        <v>106</v>
      </c>
      <c r="H428" s="15" t="s">
        <v>5127</v>
      </c>
      <c r="I428" s="18">
        <v>14</v>
      </c>
      <c r="J428" s="18">
        <v>6</v>
      </c>
      <c r="K428" s="18">
        <v>8</v>
      </c>
      <c r="L428" s="18">
        <v>0</v>
      </c>
      <c r="M428" s="18" t="s">
        <v>5230</v>
      </c>
      <c r="N428" s="18" t="s">
        <v>6471</v>
      </c>
      <c r="O428" s="18">
        <v>47095</v>
      </c>
      <c r="T428" s="18" t="s">
        <v>111</v>
      </c>
      <c r="U428" s="18" t="s">
        <v>5250</v>
      </c>
      <c r="V428" s="18" t="s">
        <v>106</v>
      </c>
      <c r="W428" s="18" t="s">
        <v>113</v>
      </c>
      <c r="Y428" s="18" t="s">
        <v>5162</v>
      </c>
      <c r="Z428" s="18" t="s">
        <v>106</v>
      </c>
      <c r="AA428" s="18" t="s">
        <v>5163</v>
      </c>
      <c r="AB428" s="18" t="s">
        <v>179</v>
      </c>
      <c r="AC428" s="18" t="s">
        <v>5127</v>
      </c>
      <c r="AD428" s="18" t="s">
        <v>5127</v>
      </c>
      <c r="AE428" s="18" t="s">
        <v>5127</v>
      </c>
      <c r="AF428" s="18" t="s">
        <v>111</v>
      </c>
      <c r="AG428" s="18" t="s">
        <v>5127</v>
      </c>
      <c r="AH428" s="18" t="s">
        <v>5127</v>
      </c>
      <c r="AI428" s="18">
        <v>1</v>
      </c>
      <c r="AK428" s="18" t="s">
        <v>5164</v>
      </c>
      <c r="AN428" s="18">
        <v>474</v>
      </c>
      <c r="AO428" s="18" t="s">
        <v>5186</v>
      </c>
      <c r="AP428" s="18" t="s">
        <v>6472</v>
      </c>
      <c r="AQ428" s="18" t="s">
        <v>5955</v>
      </c>
      <c r="AR428" s="18" t="s">
        <v>5803</v>
      </c>
      <c r="AT428" s="17">
        <f>(365*D428*0.7)/1000</f>
        <v>3675.3674999999994</v>
      </c>
      <c r="AU428" s="17">
        <f t="shared" si="22"/>
        <v>240</v>
      </c>
      <c r="AV428" s="18">
        <v>240</v>
      </c>
      <c r="AW428" s="18">
        <v>0</v>
      </c>
      <c r="AY428" s="18" t="s">
        <v>5915</v>
      </c>
      <c r="AZ428" s="18">
        <v>0</v>
      </c>
      <c r="BA428" s="18">
        <v>0</v>
      </c>
      <c r="BB428" s="18">
        <v>0</v>
      </c>
      <c r="BD428" s="18">
        <v>0</v>
      </c>
      <c r="BE428" s="18">
        <v>0</v>
      </c>
      <c r="BG428" s="18" t="s">
        <v>5281</v>
      </c>
      <c r="BH428" s="18">
        <v>0</v>
      </c>
      <c r="BI428" s="18">
        <v>0</v>
      </c>
      <c r="BJ428" s="18">
        <v>0</v>
      </c>
      <c r="BQ428" s="18">
        <v>97</v>
      </c>
      <c r="BR428" s="18">
        <v>53</v>
      </c>
      <c r="BS428" s="18">
        <v>26</v>
      </c>
      <c r="BT428" s="18">
        <v>0</v>
      </c>
      <c r="BU428" s="18">
        <v>58</v>
      </c>
      <c r="BV428" s="18">
        <v>234</v>
      </c>
      <c r="BW428" s="15">
        <f t="shared" si="23"/>
        <v>234</v>
      </c>
      <c r="BY428" s="18" t="s">
        <v>5134</v>
      </c>
      <c r="BZ428" s="18" t="s">
        <v>5192</v>
      </c>
      <c r="CD428" s="18" t="s">
        <v>5127</v>
      </c>
      <c r="CE428" s="18" t="s">
        <v>111</v>
      </c>
      <c r="CF428" s="18" t="s">
        <v>5135</v>
      </c>
      <c r="CG428" s="18" t="s">
        <v>5376</v>
      </c>
      <c r="CH428" s="18" t="s">
        <v>5194</v>
      </c>
      <c r="CI428" s="18" t="s">
        <v>5195</v>
      </c>
      <c r="CJ428" s="18" t="s">
        <v>5196</v>
      </c>
      <c r="CK428" s="18" t="s">
        <v>5197</v>
      </c>
      <c r="CL428" s="18">
        <v>1</v>
      </c>
      <c r="CM428" s="18">
        <v>0</v>
      </c>
      <c r="CN428" s="18">
        <v>0</v>
      </c>
      <c r="CO428" s="18">
        <v>1</v>
      </c>
      <c r="CP428" s="18">
        <v>2</v>
      </c>
      <c r="CQ428" s="18">
        <v>1</v>
      </c>
      <c r="CR428" s="18">
        <v>0</v>
      </c>
      <c r="CS428" s="18" t="s">
        <v>5141</v>
      </c>
      <c r="CT428" s="18">
        <v>0</v>
      </c>
      <c r="CU428" s="18">
        <v>0</v>
      </c>
      <c r="CV428" s="18">
        <v>2</v>
      </c>
      <c r="CX428" s="18">
        <v>1</v>
      </c>
      <c r="CY428" s="18">
        <v>1</v>
      </c>
      <c r="CZ428" s="18">
        <v>0</v>
      </c>
      <c r="DA428" s="18">
        <v>1</v>
      </c>
      <c r="DB428" s="18">
        <v>1</v>
      </c>
      <c r="DC428" s="18">
        <v>1</v>
      </c>
      <c r="DD428" s="18">
        <v>1</v>
      </c>
      <c r="DE428" s="18">
        <v>0</v>
      </c>
      <c r="DF428" s="18" t="s">
        <v>5141</v>
      </c>
      <c r="DG428" s="18">
        <v>0</v>
      </c>
      <c r="DH428" s="18">
        <v>1</v>
      </c>
      <c r="DI428" s="18">
        <v>0</v>
      </c>
      <c r="DK428" s="18">
        <v>0</v>
      </c>
      <c r="DL428" s="18">
        <v>0</v>
      </c>
      <c r="DM428" s="18" t="s">
        <v>5127</v>
      </c>
      <c r="DN428" s="18" t="s">
        <v>5258</v>
      </c>
      <c r="DO428" s="18" t="s">
        <v>5742</v>
      </c>
      <c r="DP428" s="18" t="s">
        <v>113</v>
      </c>
      <c r="DQ428" s="18" t="s">
        <v>5803</v>
      </c>
      <c r="DS428" s="18" t="s">
        <v>6473</v>
      </c>
      <c r="DT428" s="18">
        <v>1</v>
      </c>
      <c r="DU428" s="18">
        <v>1</v>
      </c>
      <c r="DV428" s="18" t="s">
        <v>5260</v>
      </c>
      <c r="DX428" s="18" t="s">
        <v>5145</v>
      </c>
      <c r="DY428" s="18" t="s">
        <v>106</v>
      </c>
      <c r="DZ428" s="18" t="s">
        <v>113</v>
      </c>
      <c r="EA428" s="18" t="s">
        <v>5243</v>
      </c>
      <c r="EB428" s="18">
        <v>234</v>
      </c>
      <c r="EC428" s="18" t="s">
        <v>106</v>
      </c>
      <c r="ED428" s="18" t="s">
        <v>5176</v>
      </c>
      <c r="EE428" s="18" t="s">
        <v>106</v>
      </c>
      <c r="EF428" s="18" t="s">
        <v>113</v>
      </c>
      <c r="EG428" s="18" t="s">
        <v>5148</v>
      </c>
      <c r="EH428" s="18" t="s">
        <v>5203</v>
      </c>
      <c r="EI428" s="18" t="s">
        <v>5204</v>
      </c>
      <c r="EJ428" s="18" t="s">
        <v>5245</v>
      </c>
      <c r="EK428" s="18" t="s">
        <v>113</v>
      </c>
      <c r="EL428" s="18" t="s">
        <v>6474</v>
      </c>
      <c r="EM428" s="18" t="s">
        <v>5289</v>
      </c>
      <c r="EN428" s="18" t="s">
        <v>113</v>
      </c>
      <c r="EO428" s="18" t="s">
        <v>113</v>
      </c>
      <c r="EP428" s="18" t="s">
        <v>113</v>
      </c>
      <c r="EQ428" s="18" t="s">
        <v>106</v>
      </c>
      <c r="ER428" s="18" t="s">
        <v>5206</v>
      </c>
      <c r="ES428" s="18" t="s">
        <v>5153</v>
      </c>
      <c r="ET428" s="18" t="s">
        <v>5154</v>
      </c>
      <c r="EU428" s="18" t="s">
        <v>5155</v>
      </c>
      <c r="EV428" s="18" t="s">
        <v>5621</v>
      </c>
      <c r="EW428" s="18" t="s">
        <v>5609</v>
      </c>
      <c r="EX428" s="18" t="s">
        <v>5158</v>
      </c>
      <c r="EY428" s="18" t="s">
        <v>5438</v>
      </c>
      <c r="EZ428" s="18" t="s">
        <v>5160</v>
      </c>
      <c r="FA428" s="18" t="s">
        <v>144</v>
      </c>
      <c r="FB428" s="18" t="s">
        <v>5161</v>
      </c>
    </row>
    <row r="429" spans="1:158" ht="10.5" customHeight="1" x14ac:dyDescent="0.2">
      <c r="A429" s="18">
        <v>41</v>
      </c>
      <c r="B429" s="18" t="s">
        <v>4128</v>
      </c>
      <c r="C429" s="18" t="s">
        <v>4127</v>
      </c>
      <c r="D429" s="18">
        <v>3657</v>
      </c>
      <c r="E429" s="16" t="s">
        <v>6656</v>
      </c>
      <c r="F429" s="18" t="s">
        <v>4127</v>
      </c>
      <c r="G429" s="18" t="s">
        <v>106</v>
      </c>
      <c r="H429" s="15" t="s">
        <v>5127</v>
      </c>
      <c r="I429" s="18">
        <v>8</v>
      </c>
      <c r="J429" s="18">
        <v>2</v>
      </c>
      <c r="K429" s="18">
        <v>6</v>
      </c>
      <c r="L429" s="18">
        <v>0</v>
      </c>
      <c r="M429" s="18" t="s">
        <v>5183</v>
      </c>
      <c r="N429" s="18" t="s">
        <v>1582</v>
      </c>
      <c r="O429" s="18">
        <v>45863</v>
      </c>
      <c r="T429" s="18" t="s">
        <v>111</v>
      </c>
      <c r="U429" s="18" t="s">
        <v>5250</v>
      </c>
      <c r="V429" s="18" t="s">
        <v>113</v>
      </c>
      <c r="W429" s="18" t="s">
        <v>5211</v>
      </c>
      <c r="Y429" s="18" t="s">
        <v>5162</v>
      </c>
      <c r="Z429" s="18" t="s">
        <v>106</v>
      </c>
      <c r="AA429" s="18" t="s">
        <v>5163</v>
      </c>
      <c r="AB429" s="18" t="s">
        <v>179</v>
      </c>
      <c r="AC429" s="18" t="s">
        <v>5127</v>
      </c>
      <c r="AD429" s="18" t="s">
        <v>5127</v>
      </c>
      <c r="AE429" s="18" t="s">
        <v>5127</v>
      </c>
      <c r="AF429" s="18" t="s">
        <v>5127</v>
      </c>
      <c r="AG429" s="18" t="s">
        <v>5127</v>
      </c>
      <c r="AH429" s="18" t="s">
        <v>5127</v>
      </c>
      <c r="AI429" s="18">
        <v>1</v>
      </c>
      <c r="AK429" s="18" t="s">
        <v>5279</v>
      </c>
      <c r="AN429" s="18">
        <v>221</v>
      </c>
      <c r="AO429" s="18" t="s">
        <v>5186</v>
      </c>
      <c r="AP429" s="18" t="s">
        <v>6475</v>
      </c>
      <c r="AQ429" s="18" t="s">
        <v>5711</v>
      </c>
      <c r="AR429" s="18" t="s">
        <v>5168</v>
      </c>
      <c r="AT429" s="17">
        <f>(365*D429*0.7)/1000</f>
        <v>934.36349999999993</v>
      </c>
      <c r="AU429" s="17">
        <f t="shared" si="22"/>
        <v>63</v>
      </c>
      <c r="AV429" s="18">
        <v>63</v>
      </c>
      <c r="AW429" s="18">
        <v>0</v>
      </c>
      <c r="AY429" s="18" t="s">
        <v>164</v>
      </c>
      <c r="AZ429" s="18">
        <v>0</v>
      </c>
      <c r="BA429" s="18">
        <f>100/1000</f>
        <v>0.1</v>
      </c>
      <c r="BB429" s="18">
        <v>30</v>
      </c>
      <c r="BD429" s="18">
        <f>4000/1000</f>
        <v>4</v>
      </c>
      <c r="BE429" s="18">
        <v>100</v>
      </c>
      <c r="BG429" s="18" t="s">
        <v>5281</v>
      </c>
      <c r="BH429" s="18">
        <v>0</v>
      </c>
      <c r="BI429" s="18">
        <v>0</v>
      </c>
      <c r="BJ429" s="18">
        <v>0</v>
      </c>
      <c r="BQ429" s="18">
        <v>73</v>
      </c>
      <c r="BR429" s="18">
        <v>56</v>
      </c>
      <c r="BS429" s="18">
        <v>14</v>
      </c>
      <c r="BT429" s="18">
        <v>15</v>
      </c>
      <c r="BU429" s="18">
        <v>5</v>
      </c>
      <c r="BV429" s="18">
        <f>SUM(BQ429:BU429)</f>
        <v>163</v>
      </c>
      <c r="BW429" s="15">
        <f t="shared" si="23"/>
        <v>163</v>
      </c>
      <c r="BY429" s="18" t="s">
        <v>5134</v>
      </c>
      <c r="BZ429" s="18" t="s">
        <v>193</v>
      </c>
      <c r="CD429" s="18" t="s">
        <v>5127</v>
      </c>
      <c r="CE429" s="18" t="s">
        <v>5127</v>
      </c>
      <c r="CF429" s="18" t="s">
        <v>5135</v>
      </c>
      <c r="CG429" s="18" t="s">
        <v>5562</v>
      </c>
      <c r="CH429" s="18" t="s">
        <v>5241</v>
      </c>
      <c r="CI429" s="18" t="s">
        <v>5138</v>
      </c>
      <c r="CJ429" s="18" t="s">
        <v>5196</v>
      </c>
      <c r="CK429" s="18" t="s">
        <v>5197</v>
      </c>
      <c r="CL429" s="18">
        <v>1</v>
      </c>
      <c r="CM429" s="18">
        <v>0</v>
      </c>
      <c r="CN429" s="18">
        <v>0</v>
      </c>
      <c r="CO429" s="18">
        <v>1</v>
      </c>
      <c r="CP429" s="18">
        <v>0</v>
      </c>
      <c r="CQ429" s="18">
        <v>1</v>
      </c>
      <c r="CR429" s="18">
        <v>0</v>
      </c>
      <c r="CS429" s="18">
        <v>2</v>
      </c>
      <c r="CT429" s="18">
        <v>1</v>
      </c>
      <c r="CU429" s="18">
        <v>1</v>
      </c>
      <c r="CV429" s="18">
        <v>1</v>
      </c>
      <c r="CX429" s="18">
        <v>0</v>
      </c>
      <c r="CY429" s="18">
        <v>0</v>
      </c>
      <c r="CZ429" s="18">
        <v>0</v>
      </c>
      <c r="DA429" s="18">
        <v>1</v>
      </c>
      <c r="DB429" s="18">
        <v>1</v>
      </c>
      <c r="DC429" s="18">
        <v>1</v>
      </c>
      <c r="DD429" s="18">
        <v>0</v>
      </c>
      <c r="DE429" s="18">
        <v>1</v>
      </c>
      <c r="DF429" s="18">
        <v>2</v>
      </c>
      <c r="DG429" s="18">
        <v>0</v>
      </c>
      <c r="DH429" s="18">
        <v>0</v>
      </c>
      <c r="DI429" s="18">
        <v>2</v>
      </c>
      <c r="DK429" s="18">
        <v>0</v>
      </c>
      <c r="DL429" s="18">
        <v>1</v>
      </c>
      <c r="DM429" s="18" t="s">
        <v>5127</v>
      </c>
      <c r="DN429" s="18" t="s">
        <v>5172</v>
      </c>
      <c r="DO429" s="18" t="s">
        <v>5143</v>
      </c>
      <c r="DP429" s="18" t="s">
        <v>113</v>
      </c>
      <c r="DQ429" s="18" t="s">
        <v>5168</v>
      </c>
      <c r="DS429" s="18">
        <v>0</v>
      </c>
      <c r="DT429" s="18">
        <v>1</v>
      </c>
      <c r="DU429" s="18">
        <v>1</v>
      </c>
      <c r="DV429" s="18" t="s">
        <v>5260</v>
      </c>
      <c r="DX429" s="18" t="s">
        <v>5201</v>
      </c>
      <c r="DY429" s="18" t="s">
        <v>106</v>
      </c>
      <c r="DZ429" s="18" t="s">
        <v>113</v>
      </c>
      <c r="EA429" s="18" t="s">
        <v>5202</v>
      </c>
      <c r="EB429" s="18">
        <v>158</v>
      </c>
      <c r="EC429" s="18" t="s">
        <v>106</v>
      </c>
      <c r="ED429" s="18" t="s">
        <v>5176</v>
      </c>
      <c r="EE429" s="18" t="s">
        <v>106</v>
      </c>
      <c r="EF429" s="18" t="s">
        <v>113</v>
      </c>
      <c r="EG429" s="18" t="s">
        <v>5326</v>
      </c>
      <c r="EH429" s="18" t="s">
        <v>5203</v>
      </c>
      <c r="EI429" s="18" t="s">
        <v>5150</v>
      </c>
      <c r="EJ429" s="18" t="s">
        <v>5646</v>
      </c>
      <c r="EK429" s="18" t="s">
        <v>113</v>
      </c>
      <c r="EL429" s="18" t="s">
        <v>6476</v>
      </c>
      <c r="EM429" s="18" t="s">
        <v>5227</v>
      </c>
      <c r="EN429" s="18" t="s">
        <v>106</v>
      </c>
      <c r="EO429" s="18" t="s">
        <v>113</v>
      </c>
      <c r="EP429" s="18" t="s">
        <v>113</v>
      </c>
      <c r="EQ429" s="18" t="s">
        <v>113</v>
      </c>
      <c r="ER429" s="18" t="s">
        <v>5206</v>
      </c>
      <c r="ES429" s="18" t="s">
        <v>5317</v>
      </c>
      <c r="ET429" s="18" t="s">
        <v>5154</v>
      </c>
      <c r="EU429" s="18" t="s">
        <v>5328</v>
      </c>
      <c r="EV429" s="18" t="s">
        <v>5469</v>
      </c>
      <c r="EW429" s="18" t="s">
        <v>6477</v>
      </c>
      <c r="EX429" s="18" t="s">
        <v>5158</v>
      </c>
      <c r="EY429" s="18" t="s">
        <v>5229</v>
      </c>
      <c r="EZ429" s="18" t="s">
        <v>5160</v>
      </c>
      <c r="FA429" s="18" t="s">
        <v>144</v>
      </c>
    </row>
    <row r="430" spans="1:158" ht="10.5" customHeight="1" x14ac:dyDescent="0.2">
      <c r="A430" s="18">
        <v>41</v>
      </c>
      <c r="B430" s="18" t="s">
        <v>4141</v>
      </c>
      <c r="C430" s="18" t="s">
        <v>4140</v>
      </c>
      <c r="D430" s="18">
        <v>9985</v>
      </c>
      <c r="E430" s="16" t="s">
        <v>6656</v>
      </c>
      <c r="F430" s="18" t="s">
        <v>4140</v>
      </c>
      <c r="G430" s="18" t="s">
        <v>106</v>
      </c>
      <c r="H430" s="15" t="s">
        <v>5127</v>
      </c>
      <c r="I430" s="18" t="s">
        <v>1024</v>
      </c>
      <c r="J430" s="18" t="s">
        <v>4537</v>
      </c>
      <c r="K430" s="18" t="s">
        <v>4819</v>
      </c>
      <c r="L430" s="18">
        <v>0</v>
      </c>
      <c r="M430" s="18" t="s">
        <v>5183</v>
      </c>
      <c r="N430" s="18" t="s">
        <v>6478</v>
      </c>
      <c r="O430" s="18">
        <v>47820</v>
      </c>
      <c r="T430" s="18" t="s">
        <v>111</v>
      </c>
      <c r="U430" s="18" t="s">
        <v>5123</v>
      </c>
      <c r="V430" s="18" t="s">
        <v>106</v>
      </c>
      <c r="W430" s="18" t="s">
        <v>5211</v>
      </c>
      <c r="Y430" s="18" t="s">
        <v>5232</v>
      </c>
      <c r="Z430" s="18" t="s">
        <v>106</v>
      </c>
      <c r="AA430" s="18" t="s">
        <v>5267</v>
      </c>
      <c r="AB430" s="18" t="s">
        <v>179</v>
      </c>
      <c r="AC430" s="18" t="s">
        <v>5127</v>
      </c>
      <c r="AD430" s="18" t="s">
        <v>5127</v>
      </c>
      <c r="AE430" s="18" t="s">
        <v>111</v>
      </c>
      <c r="AF430" s="18" t="s">
        <v>111</v>
      </c>
      <c r="AG430" s="18" t="s">
        <v>5127</v>
      </c>
      <c r="AH430" s="18" t="s">
        <v>111</v>
      </c>
      <c r="AI430" s="18">
        <v>1</v>
      </c>
      <c r="AK430" s="18" t="s">
        <v>5164</v>
      </c>
      <c r="AN430" s="18">
        <v>96000</v>
      </c>
      <c r="AO430" s="18" t="s">
        <v>5186</v>
      </c>
      <c r="AP430" s="18" t="s">
        <v>6479</v>
      </c>
      <c r="AQ430" s="18" t="s">
        <v>6317</v>
      </c>
      <c r="AR430" s="18" t="s">
        <v>5168</v>
      </c>
      <c r="AT430" s="17">
        <f>(365*D430*0.7)/1000</f>
        <v>2551.1675</v>
      </c>
      <c r="AU430" s="17">
        <f t="shared" si="22"/>
        <v>0</v>
      </c>
      <c r="AV430" s="18">
        <v>0</v>
      </c>
      <c r="AW430" s="18">
        <v>0</v>
      </c>
      <c r="AY430" s="18" t="s">
        <v>6480</v>
      </c>
      <c r="AZ430" s="18">
        <v>0</v>
      </c>
      <c r="BA430" s="18">
        <v>0</v>
      </c>
      <c r="BB430" s="18">
        <v>0</v>
      </c>
      <c r="BD430" s="18">
        <v>0</v>
      </c>
      <c r="BE430" s="18">
        <v>0</v>
      </c>
      <c r="BG430" s="18" t="s">
        <v>5369</v>
      </c>
      <c r="BQ430" s="18">
        <f>3600/1000</f>
        <v>3.6</v>
      </c>
      <c r="BR430" s="18">
        <v>504</v>
      </c>
      <c r="BS430" s="18">
        <v>84</v>
      </c>
      <c r="BT430" s="18">
        <v>0</v>
      </c>
      <c r="BU430" s="18">
        <v>48</v>
      </c>
      <c r="BV430" s="18">
        <f t="shared" ref="BV430:BV431" si="24">SUM(BQ430:BU430)</f>
        <v>639.6</v>
      </c>
      <c r="BW430" s="15">
        <f t="shared" si="23"/>
        <v>639.6</v>
      </c>
      <c r="BY430" s="18" t="s">
        <v>5134</v>
      </c>
      <c r="BZ430" s="18" t="s">
        <v>5866</v>
      </c>
      <c r="CD430" s="18" t="s">
        <v>5127</v>
      </c>
      <c r="CE430" s="18" t="s">
        <v>111</v>
      </c>
      <c r="CF430" s="18" t="s">
        <v>5135</v>
      </c>
      <c r="CG430" s="18" t="s">
        <v>5427</v>
      </c>
      <c r="CH430" s="18" t="s">
        <v>111</v>
      </c>
      <c r="CI430" s="18" t="s">
        <v>5138</v>
      </c>
      <c r="CJ430" s="18" t="s">
        <v>5139</v>
      </c>
      <c r="CK430" s="18" t="s">
        <v>5171</v>
      </c>
      <c r="CL430" s="18">
        <v>1</v>
      </c>
      <c r="CM430" s="18">
        <v>0</v>
      </c>
      <c r="CN430" s="18">
        <v>0</v>
      </c>
      <c r="CO430" s="18">
        <v>1</v>
      </c>
      <c r="CP430" s="18">
        <v>1</v>
      </c>
      <c r="CQ430" s="18">
        <v>1</v>
      </c>
      <c r="CR430" s="18">
        <v>0</v>
      </c>
      <c r="CS430" s="18" t="s">
        <v>5141</v>
      </c>
      <c r="CT430" s="18">
        <v>0</v>
      </c>
      <c r="CU430" s="18">
        <v>0</v>
      </c>
      <c r="CV430" s="18">
        <v>0</v>
      </c>
      <c r="CX430" s="18">
        <v>1</v>
      </c>
      <c r="CY430" s="18">
        <v>1</v>
      </c>
      <c r="CZ430" s="18">
        <v>0</v>
      </c>
      <c r="DA430" s="18">
        <v>0</v>
      </c>
      <c r="DB430" s="18">
        <v>1</v>
      </c>
      <c r="DC430" s="18">
        <v>1</v>
      </c>
      <c r="DD430" s="18">
        <v>0</v>
      </c>
      <c r="DE430" s="18">
        <v>0</v>
      </c>
      <c r="DF430" s="18" t="s">
        <v>5141</v>
      </c>
      <c r="DG430" s="18">
        <v>0</v>
      </c>
      <c r="DH430" s="18">
        <v>0</v>
      </c>
      <c r="DI430" s="18" t="s">
        <v>5141</v>
      </c>
      <c r="DK430" s="18">
        <v>0</v>
      </c>
      <c r="DL430" s="18">
        <v>0</v>
      </c>
      <c r="DM430" s="18" t="s">
        <v>111</v>
      </c>
      <c r="DN430" s="18" t="s">
        <v>5172</v>
      </c>
      <c r="DO430" s="18" t="s">
        <v>5371</v>
      </c>
      <c r="DP430" s="18" t="s">
        <v>113</v>
      </c>
      <c r="DQ430" s="18" t="s">
        <v>5168</v>
      </c>
      <c r="DS430" s="18">
        <v>0</v>
      </c>
      <c r="DT430" s="18">
        <v>1</v>
      </c>
      <c r="DU430" s="18">
        <v>1</v>
      </c>
      <c r="DV430" s="18" t="s">
        <v>5444</v>
      </c>
      <c r="DX430" s="18" t="s">
        <v>5145</v>
      </c>
      <c r="DY430" s="18" t="s">
        <v>106</v>
      </c>
      <c r="DZ430" s="18" t="s">
        <v>113</v>
      </c>
      <c r="EA430" s="18" t="s">
        <v>5959</v>
      </c>
      <c r="EB430" s="18">
        <v>84000</v>
      </c>
      <c r="EC430" s="18" t="s">
        <v>113</v>
      </c>
      <c r="ED430" s="18" t="s">
        <v>5147</v>
      </c>
      <c r="EE430" s="18" t="s">
        <v>106</v>
      </c>
      <c r="EF430" s="18" t="s">
        <v>113</v>
      </c>
      <c r="EG430" s="18" t="s">
        <v>5970</v>
      </c>
      <c r="EH430" s="18" t="s">
        <v>5203</v>
      </c>
      <c r="EI430" s="18" t="s">
        <v>5204</v>
      </c>
      <c r="EJ430" s="18" t="s">
        <v>6481</v>
      </c>
      <c r="EK430" s="18" t="s">
        <v>113</v>
      </c>
      <c r="EM430" s="18" t="s">
        <v>5227</v>
      </c>
      <c r="EN430" s="18" t="s">
        <v>113</v>
      </c>
      <c r="EO430" s="18" t="s">
        <v>113</v>
      </c>
      <c r="EP430" s="18" t="s">
        <v>113</v>
      </c>
      <c r="EQ430" s="18" t="s">
        <v>113</v>
      </c>
      <c r="ER430" s="18" t="s">
        <v>5206</v>
      </c>
      <c r="ES430" s="18" t="s">
        <v>5153</v>
      </c>
      <c r="ET430" s="18" t="s">
        <v>5154</v>
      </c>
      <c r="EU430" s="18" t="s">
        <v>5328</v>
      </c>
      <c r="EV430" s="18" t="s">
        <v>5372</v>
      </c>
      <c r="EW430" s="18" t="s">
        <v>5277</v>
      </c>
      <c r="EX430" s="18" t="s">
        <v>5158</v>
      </c>
      <c r="EY430" s="18" t="s">
        <v>5597</v>
      </c>
      <c r="EZ430" s="18" t="s">
        <v>5160</v>
      </c>
      <c r="FA430" s="18" t="s">
        <v>144</v>
      </c>
      <c r="FB430" s="18" t="s">
        <v>5161</v>
      </c>
    </row>
    <row r="431" spans="1:158" ht="10.5" customHeight="1" x14ac:dyDescent="0.2">
      <c r="A431" s="18">
        <v>41</v>
      </c>
      <c r="B431" s="18" t="s">
        <v>4149</v>
      </c>
      <c r="C431" s="18" t="s">
        <v>4148</v>
      </c>
      <c r="D431" s="18">
        <v>11034</v>
      </c>
      <c r="E431" s="16" t="s">
        <v>6656</v>
      </c>
      <c r="F431" s="18" t="s">
        <v>4148</v>
      </c>
      <c r="G431" s="18" t="s">
        <v>106</v>
      </c>
      <c r="H431" s="15" t="s">
        <v>5127</v>
      </c>
      <c r="I431" s="18">
        <v>17</v>
      </c>
      <c r="J431" s="18">
        <v>8</v>
      </c>
      <c r="K431" s="18">
        <v>9</v>
      </c>
      <c r="L431" s="18">
        <v>0</v>
      </c>
      <c r="M431" s="18" t="s">
        <v>5183</v>
      </c>
      <c r="N431" s="18">
        <v>0</v>
      </c>
      <c r="O431" s="18" t="s">
        <v>6114</v>
      </c>
      <c r="T431" s="18" t="s">
        <v>111</v>
      </c>
      <c r="U431" s="18" t="s">
        <v>5250</v>
      </c>
      <c r="V431" s="18" t="s">
        <v>106</v>
      </c>
      <c r="W431" s="18" t="s">
        <v>5124</v>
      </c>
      <c r="Y431" s="18" t="s">
        <v>6482</v>
      </c>
      <c r="Z431" s="18" t="s">
        <v>106</v>
      </c>
      <c r="AA431" s="18" t="s">
        <v>5163</v>
      </c>
      <c r="AB431" s="18" t="s">
        <v>179</v>
      </c>
      <c r="AC431" s="18" t="s">
        <v>5127</v>
      </c>
      <c r="AD431" s="18" t="s">
        <v>5127</v>
      </c>
      <c r="AE431" s="18" t="s">
        <v>111</v>
      </c>
      <c r="AF431" s="18" t="s">
        <v>111</v>
      </c>
      <c r="AG431" s="18" t="s">
        <v>5127</v>
      </c>
      <c r="AH431" s="18" t="s">
        <v>111</v>
      </c>
      <c r="AI431" s="18">
        <v>1</v>
      </c>
      <c r="AK431" s="18" t="s">
        <v>5128</v>
      </c>
      <c r="AN431" s="18">
        <v>432</v>
      </c>
      <c r="AO431" s="18" t="s">
        <v>5186</v>
      </c>
      <c r="AP431" s="18" t="s">
        <v>6483</v>
      </c>
      <c r="AQ431" s="18" t="s">
        <v>5711</v>
      </c>
      <c r="AR431" s="18" t="s">
        <v>5168</v>
      </c>
      <c r="AT431" s="17">
        <f>(365*D431*0.7)/1000</f>
        <v>2819.1869999999999</v>
      </c>
      <c r="AU431" s="17">
        <f t="shared" si="22"/>
        <v>72</v>
      </c>
      <c r="AV431" s="18">
        <v>72</v>
      </c>
      <c r="AW431" s="18">
        <v>0</v>
      </c>
      <c r="AY431" s="18" t="s">
        <v>5915</v>
      </c>
      <c r="BG431" s="18" t="s">
        <v>5281</v>
      </c>
      <c r="BQ431" s="18">
        <v>144</v>
      </c>
      <c r="BR431" s="18">
        <v>108</v>
      </c>
      <c r="BS431" s="18">
        <v>36</v>
      </c>
      <c r="BT431" s="18">
        <v>75</v>
      </c>
      <c r="BU431" s="18">
        <v>0</v>
      </c>
      <c r="BV431" s="18">
        <f t="shared" si="24"/>
        <v>363</v>
      </c>
      <c r="BW431" s="15">
        <f t="shared" si="23"/>
        <v>363</v>
      </c>
      <c r="BY431" s="18" t="s">
        <v>5134</v>
      </c>
      <c r="BZ431" s="18" t="s">
        <v>193</v>
      </c>
      <c r="CD431" s="18" t="s">
        <v>5127</v>
      </c>
      <c r="CE431" s="18" t="s">
        <v>111</v>
      </c>
      <c r="CF431" s="18" t="s">
        <v>5135</v>
      </c>
      <c r="CG431" s="18" t="s">
        <v>5313</v>
      </c>
      <c r="CH431" s="18" t="s">
        <v>5284</v>
      </c>
      <c r="CI431" s="18" t="s">
        <v>5138</v>
      </c>
      <c r="CJ431" s="18" t="s">
        <v>5196</v>
      </c>
      <c r="CK431" s="18" t="s">
        <v>5197</v>
      </c>
      <c r="CL431" s="18">
        <v>3</v>
      </c>
      <c r="CM431" s="18">
        <v>0</v>
      </c>
      <c r="CN431" s="18">
        <v>0</v>
      </c>
      <c r="CO431" s="18">
        <v>1</v>
      </c>
      <c r="CP431" s="18">
        <v>2</v>
      </c>
      <c r="CQ431" s="18">
        <v>1</v>
      </c>
      <c r="CR431" s="18">
        <v>0</v>
      </c>
      <c r="CS431" s="18">
        <v>0</v>
      </c>
      <c r="CT431" s="18">
        <v>1</v>
      </c>
      <c r="CU431" s="18">
        <v>0</v>
      </c>
      <c r="CV431" s="18">
        <v>0</v>
      </c>
      <c r="CX431" s="18">
        <v>0</v>
      </c>
      <c r="CY431" s="18">
        <v>0</v>
      </c>
      <c r="CZ431" s="18">
        <v>0</v>
      </c>
      <c r="DA431" s="18">
        <v>0</v>
      </c>
      <c r="DB431" s="18">
        <v>1</v>
      </c>
      <c r="DC431" s="18">
        <v>0</v>
      </c>
      <c r="DD431" s="18">
        <v>1</v>
      </c>
      <c r="DE431" s="18">
        <v>0</v>
      </c>
      <c r="DF431" s="18">
        <v>0</v>
      </c>
      <c r="DG431" s="18">
        <v>0</v>
      </c>
      <c r="DH431" s="18">
        <v>0</v>
      </c>
      <c r="DI431" s="18" t="s">
        <v>5141</v>
      </c>
      <c r="DK431" s="18">
        <v>0</v>
      </c>
      <c r="DL431" s="18">
        <v>0</v>
      </c>
      <c r="DM431" s="18" t="s">
        <v>111</v>
      </c>
      <c r="DN431" s="18" t="s">
        <v>5314</v>
      </c>
      <c r="DO431" s="18" t="s">
        <v>5300</v>
      </c>
      <c r="DP431" s="18" t="s">
        <v>113</v>
      </c>
      <c r="DS431" s="18">
        <v>0</v>
      </c>
      <c r="DT431" s="18">
        <v>0</v>
      </c>
      <c r="DU431" s="18">
        <v>1</v>
      </c>
      <c r="DV431" s="18" t="s">
        <v>5260</v>
      </c>
      <c r="DX431" s="18" t="s">
        <v>5201</v>
      </c>
      <c r="DY431" s="18" t="s">
        <v>113</v>
      </c>
      <c r="DZ431" s="18" t="s">
        <v>113</v>
      </c>
      <c r="EA431" s="18" t="s">
        <v>5302</v>
      </c>
      <c r="EB431" s="18">
        <v>360</v>
      </c>
      <c r="EC431" s="18" t="s">
        <v>113</v>
      </c>
      <c r="ED431" s="18" t="s">
        <v>5147</v>
      </c>
      <c r="EE431" s="18" t="s">
        <v>113</v>
      </c>
      <c r="EF431" s="18" t="s">
        <v>113</v>
      </c>
      <c r="EG431" s="18" t="s">
        <v>5148</v>
      </c>
      <c r="EH431" s="18" t="s">
        <v>5203</v>
      </c>
      <c r="EI431" s="18" t="s">
        <v>5204</v>
      </c>
      <c r="EJ431" s="18" t="s">
        <v>5287</v>
      </c>
      <c r="EK431" s="18" t="s">
        <v>113</v>
      </c>
      <c r="EN431" s="18" t="s">
        <v>113</v>
      </c>
      <c r="EO431" s="18" t="s">
        <v>113</v>
      </c>
      <c r="EP431" s="18" t="s">
        <v>113</v>
      </c>
      <c r="EQ431" s="18" t="s">
        <v>113</v>
      </c>
      <c r="ER431" s="18" t="s">
        <v>5152</v>
      </c>
      <c r="ES431" s="18" t="s">
        <v>5153</v>
      </c>
      <c r="ET431" s="18" t="s">
        <v>5154</v>
      </c>
      <c r="EU431" s="18" t="s">
        <v>5155</v>
      </c>
      <c r="EV431" s="18" t="s">
        <v>5329</v>
      </c>
      <c r="EW431" s="18" t="s">
        <v>5563</v>
      </c>
      <c r="EX431" s="18" t="s">
        <v>5158</v>
      </c>
      <c r="EY431" s="18" t="s">
        <v>5229</v>
      </c>
      <c r="EZ431" s="18" t="s">
        <v>5160</v>
      </c>
      <c r="FA431" s="18" t="s">
        <v>144</v>
      </c>
      <c r="FB431" s="18" t="s">
        <v>5161</v>
      </c>
    </row>
    <row r="432" spans="1:158" ht="10.5" customHeight="1" x14ac:dyDescent="0.2">
      <c r="A432" s="18">
        <v>41</v>
      </c>
      <c r="B432" s="18" t="s">
        <v>852</v>
      </c>
      <c r="C432" s="18" t="s">
        <v>853</v>
      </c>
      <c r="D432" s="18">
        <v>3373</v>
      </c>
      <c r="E432" s="16"/>
      <c r="H432" s="15" t="s">
        <v>6661</v>
      </c>
      <c r="AT432" s="17">
        <f>(365*D432*0.7)/1000</f>
        <v>861.80150000000003</v>
      </c>
      <c r="AU432" s="17">
        <f t="shared" si="22"/>
        <v>0</v>
      </c>
      <c r="BW432" s="15">
        <f t="shared" si="23"/>
        <v>0</v>
      </c>
    </row>
    <row r="433" spans="1:158" ht="10.5" customHeight="1" x14ac:dyDescent="0.2">
      <c r="A433" s="18">
        <v>41</v>
      </c>
      <c r="B433" s="18" t="s">
        <v>3250</v>
      </c>
      <c r="C433" s="18" t="s">
        <v>3251</v>
      </c>
      <c r="D433" s="18">
        <v>13749</v>
      </c>
      <c r="E433" s="16"/>
      <c r="H433" s="15" t="s">
        <v>6661</v>
      </c>
      <c r="AT433" s="17">
        <f>(365*D433*0.7)/1000</f>
        <v>3512.8694999999998</v>
      </c>
      <c r="AU433" s="17">
        <f t="shared" si="22"/>
        <v>0</v>
      </c>
      <c r="BW433" s="15">
        <f t="shared" si="23"/>
        <v>0</v>
      </c>
    </row>
    <row r="434" spans="1:158" ht="10.5" customHeight="1" x14ac:dyDescent="0.2">
      <c r="A434" s="18">
        <v>41</v>
      </c>
      <c r="B434" s="18" t="s">
        <v>4175</v>
      </c>
      <c r="C434" s="18" t="s">
        <v>4174</v>
      </c>
      <c r="D434" s="18">
        <v>25055</v>
      </c>
      <c r="E434" s="16" t="s">
        <v>6656</v>
      </c>
      <c r="F434" s="18" t="s">
        <v>4174</v>
      </c>
      <c r="G434" s="18" t="s">
        <v>106</v>
      </c>
      <c r="H434" s="15" t="s">
        <v>5127</v>
      </c>
      <c r="I434" s="18">
        <v>43</v>
      </c>
      <c r="J434" s="18">
        <v>27</v>
      </c>
      <c r="K434" s="18">
        <v>16</v>
      </c>
      <c r="L434" s="18">
        <v>0</v>
      </c>
      <c r="M434" s="18" t="s">
        <v>5771</v>
      </c>
      <c r="N434" s="18" t="s">
        <v>6484</v>
      </c>
      <c r="O434" s="18">
        <v>47011</v>
      </c>
      <c r="T434" s="18" t="s">
        <v>5501</v>
      </c>
      <c r="U434" s="18" t="s">
        <v>5185</v>
      </c>
      <c r="V434" s="18" t="s">
        <v>106</v>
      </c>
      <c r="W434" s="18" t="s">
        <v>5211</v>
      </c>
      <c r="Y434" s="18" t="s">
        <v>5162</v>
      </c>
      <c r="Z434" s="18" t="s">
        <v>106</v>
      </c>
      <c r="AA434" s="18" t="s">
        <v>5163</v>
      </c>
      <c r="AB434" s="18" t="s">
        <v>5233</v>
      </c>
      <c r="AC434" s="18" t="s">
        <v>5127</v>
      </c>
      <c r="AD434" s="18" t="s">
        <v>5127</v>
      </c>
      <c r="AE434" s="18" t="s">
        <v>5127</v>
      </c>
      <c r="AF434" s="18" t="s">
        <v>5127</v>
      </c>
      <c r="AG434" s="18" t="s">
        <v>5127</v>
      </c>
      <c r="AH434" s="18" t="s">
        <v>5127</v>
      </c>
      <c r="AI434" s="18">
        <v>1</v>
      </c>
      <c r="AK434" s="18" t="s">
        <v>5164</v>
      </c>
      <c r="AN434" s="18">
        <v>2160</v>
      </c>
      <c r="AO434" s="18" t="s">
        <v>5165</v>
      </c>
      <c r="AP434" s="18" t="s">
        <v>6485</v>
      </c>
      <c r="AQ434" s="18" t="s">
        <v>5884</v>
      </c>
      <c r="AR434" s="18" t="s">
        <v>5168</v>
      </c>
      <c r="AT434" s="17">
        <f>(365*D434*0.7)/1000</f>
        <v>6401.5524999999998</v>
      </c>
      <c r="AU434" s="17">
        <f t="shared" si="22"/>
        <v>63.21</v>
      </c>
      <c r="AV434" s="18">
        <v>63.21</v>
      </c>
      <c r="AW434" s="18">
        <v>0</v>
      </c>
      <c r="AY434" s="18" t="s">
        <v>5493</v>
      </c>
      <c r="BG434" s="18" t="s">
        <v>5375</v>
      </c>
      <c r="BQ434" s="18">
        <v>828.15</v>
      </c>
      <c r="BR434" s="18">
        <v>456.66</v>
      </c>
      <c r="BS434" s="18">
        <v>162.04</v>
      </c>
      <c r="BT434" s="18">
        <v>244.17</v>
      </c>
      <c r="BU434" s="18">
        <v>30</v>
      </c>
      <c r="BV434" s="18">
        <f>SUM(BQ434:BU434)</f>
        <v>1721.02</v>
      </c>
      <c r="BW434" s="15">
        <f t="shared" si="23"/>
        <v>1721.02</v>
      </c>
      <c r="BY434" s="18" t="s">
        <v>5134</v>
      </c>
      <c r="BZ434" s="18" t="s">
        <v>5688</v>
      </c>
      <c r="CD434" s="18" t="s">
        <v>5127</v>
      </c>
      <c r="CE434" s="18" t="s">
        <v>5127</v>
      </c>
      <c r="CF434" s="18" t="s">
        <v>5282</v>
      </c>
      <c r="CG434" s="18" t="s">
        <v>5193</v>
      </c>
      <c r="CH434" s="18" t="s">
        <v>5564</v>
      </c>
      <c r="CI434" s="18" t="s">
        <v>5195</v>
      </c>
      <c r="CJ434" s="18" t="s">
        <v>5636</v>
      </c>
      <c r="CK434" s="18" t="s">
        <v>6486</v>
      </c>
      <c r="CL434" s="18">
        <v>1</v>
      </c>
      <c r="CM434" s="18">
        <v>2</v>
      </c>
      <c r="CN434" s="18">
        <v>2</v>
      </c>
      <c r="CO434" s="18">
        <v>1</v>
      </c>
      <c r="CP434" s="18">
        <v>4</v>
      </c>
      <c r="CQ434" s="18">
        <v>1</v>
      </c>
      <c r="CR434" s="18" t="s">
        <v>6487</v>
      </c>
      <c r="CS434" s="18" t="s">
        <v>5141</v>
      </c>
      <c r="CT434" s="18">
        <v>3</v>
      </c>
      <c r="CU434" s="18">
        <v>1</v>
      </c>
      <c r="CV434" s="18" t="s">
        <v>5141</v>
      </c>
      <c r="CX434" s="18">
        <v>1</v>
      </c>
      <c r="CY434" s="18">
        <v>1</v>
      </c>
      <c r="CZ434" s="18">
        <v>2</v>
      </c>
      <c r="DA434" s="18">
        <v>2</v>
      </c>
      <c r="DB434" s="18">
        <v>1</v>
      </c>
      <c r="DC434" s="18">
        <v>4</v>
      </c>
      <c r="DD434" s="18">
        <v>1</v>
      </c>
      <c r="DE434" s="18">
        <v>0</v>
      </c>
      <c r="DF434" s="18" t="s">
        <v>5141</v>
      </c>
      <c r="DG434" s="18">
        <v>4</v>
      </c>
      <c r="DH434" s="18">
        <v>1</v>
      </c>
      <c r="DI434" s="18" t="s">
        <v>5141</v>
      </c>
      <c r="DK434" s="18">
        <v>0</v>
      </c>
      <c r="DL434" s="18">
        <v>0</v>
      </c>
      <c r="DM434" s="18" t="s">
        <v>5127</v>
      </c>
      <c r="DN434" s="18" t="s">
        <v>5258</v>
      </c>
      <c r="DO434" s="18" t="s">
        <v>5411</v>
      </c>
      <c r="DP434" s="18" t="s">
        <v>113</v>
      </c>
      <c r="DS434" s="18">
        <v>0</v>
      </c>
      <c r="DT434" s="18">
        <v>1</v>
      </c>
      <c r="DU434" s="18">
        <v>1</v>
      </c>
      <c r="DV434" s="18" t="s">
        <v>5144</v>
      </c>
      <c r="DX434" s="18" t="s">
        <v>5201</v>
      </c>
      <c r="DY434" s="18" t="s">
        <v>106</v>
      </c>
      <c r="DZ434" s="18" t="s">
        <v>113</v>
      </c>
      <c r="EA434" s="18" t="s">
        <v>5261</v>
      </c>
      <c r="EB434" s="18" t="s">
        <v>6488</v>
      </c>
      <c r="EC434" s="18" t="s">
        <v>106</v>
      </c>
      <c r="ED434" s="18" t="s">
        <v>5176</v>
      </c>
      <c r="EE434" s="18" t="s">
        <v>106</v>
      </c>
      <c r="EF434" s="18" t="s">
        <v>113</v>
      </c>
      <c r="EG434" s="18" t="s">
        <v>5148</v>
      </c>
      <c r="EH434" s="18" t="s">
        <v>5203</v>
      </c>
      <c r="EI434" s="18" t="s">
        <v>5204</v>
      </c>
      <c r="EJ434" s="18" t="s">
        <v>5245</v>
      </c>
      <c r="EN434" s="18" t="s">
        <v>113</v>
      </c>
      <c r="EO434" s="18" t="s">
        <v>106</v>
      </c>
      <c r="EP434" s="18" t="s">
        <v>113</v>
      </c>
      <c r="EQ434" s="18" t="s">
        <v>106</v>
      </c>
      <c r="ER434" s="18" t="s">
        <v>5206</v>
      </c>
      <c r="ES434" s="18" t="s">
        <v>5153</v>
      </c>
      <c r="ET434" s="18" t="s">
        <v>5154</v>
      </c>
      <c r="EU434" s="18" t="s">
        <v>5155</v>
      </c>
      <c r="EV434" s="18" t="s">
        <v>5489</v>
      </c>
      <c r="EW434" s="18" t="s">
        <v>5563</v>
      </c>
      <c r="EX434" s="18" t="s">
        <v>5158</v>
      </c>
      <c r="EY434" s="18" t="s">
        <v>5248</v>
      </c>
      <c r="EZ434" s="18" t="s">
        <v>6489</v>
      </c>
      <c r="FA434" s="18" t="s">
        <v>144</v>
      </c>
      <c r="FB434" s="18" t="s">
        <v>5161</v>
      </c>
    </row>
    <row r="435" spans="1:158" ht="10.5" customHeight="1" x14ac:dyDescent="0.2">
      <c r="A435" s="18">
        <v>41</v>
      </c>
      <c r="B435" s="18" t="s">
        <v>4194</v>
      </c>
      <c r="C435" s="18" t="s">
        <v>4193</v>
      </c>
      <c r="D435" s="18">
        <v>5628</v>
      </c>
      <c r="E435" s="16" t="s">
        <v>6656</v>
      </c>
      <c r="F435" s="18" t="s">
        <v>4193</v>
      </c>
      <c r="G435" s="18" t="s">
        <v>106</v>
      </c>
      <c r="H435" s="15" t="s">
        <v>5127</v>
      </c>
      <c r="I435" s="18">
        <v>9</v>
      </c>
      <c r="J435" s="18">
        <v>3</v>
      </c>
      <c r="K435" s="18">
        <v>6</v>
      </c>
      <c r="L435" s="18">
        <v>0</v>
      </c>
      <c r="M435" s="18" t="s">
        <v>5183</v>
      </c>
      <c r="N435" s="18" t="s">
        <v>6490</v>
      </c>
      <c r="O435" s="18">
        <v>47794</v>
      </c>
      <c r="T435" s="18" t="s">
        <v>111</v>
      </c>
      <c r="U435" s="18" t="s">
        <v>5185</v>
      </c>
      <c r="V435" s="18" t="s">
        <v>106</v>
      </c>
      <c r="W435" s="18" t="s">
        <v>5124</v>
      </c>
      <c r="Y435" s="18" t="s">
        <v>5232</v>
      </c>
      <c r="Z435" s="18" t="s">
        <v>106</v>
      </c>
      <c r="AA435" s="18" t="s">
        <v>5163</v>
      </c>
      <c r="AB435" s="18" t="s">
        <v>179</v>
      </c>
      <c r="AC435" s="18" t="s">
        <v>5127</v>
      </c>
      <c r="AD435" s="18" t="s">
        <v>5127</v>
      </c>
      <c r="AE435" s="18" t="s">
        <v>5127</v>
      </c>
      <c r="AF435" s="18" t="s">
        <v>5127</v>
      </c>
      <c r="AG435" s="18" t="s">
        <v>5127</v>
      </c>
      <c r="AH435" s="18" t="s">
        <v>5127</v>
      </c>
      <c r="AI435" s="18">
        <v>1</v>
      </c>
      <c r="AK435" s="18" t="s">
        <v>5164</v>
      </c>
      <c r="AN435" s="18">
        <v>0</v>
      </c>
      <c r="AO435" s="18" t="s">
        <v>5186</v>
      </c>
      <c r="AP435" s="18" t="s">
        <v>6491</v>
      </c>
      <c r="AQ435" s="18" t="s">
        <v>5269</v>
      </c>
      <c r="AR435" s="18" t="s">
        <v>5168</v>
      </c>
      <c r="AT435" s="17">
        <f>(365*D435*0.7)/1000</f>
        <v>1437.954</v>
      </c>
      <c r="AU435" s="17">
        <f t="shared" si="22"/>
        <v>80</v>
      </c>
      <c r="AV435" s="18">
        <v>80</v>
      </c>
      <c r="AW435" s="18">
        <v>0</v>
      </c>
      <c r="AY435" s="18" t="s">
        <v>164</v>
      </c>
      <c r="AZ435" s="18">
        <v>0</v>
      </c>
      <c r="BB435" s="18">
        <v>0</v>
      </c>
      <c r="BD435" s="18">
        <v>0</v>
      </c>
      <c r="BE435" s="18">
        <v>0</v>
      </c>
      <c r="BG435" s="18" t="s">
        <v>164</v>
      </c>
      <c r="BH435" s="18">
        <v>0</v>
      </c>
      <c r="BI435" s="18">
        <v>0</v>
      </c>
      <c r="BJ435" s="18">
        <v>0</v>
      </c>
      <c r="BQ435" s="18">
        <v>72</v>
      </c>
      <c r="BR435" s="18">
        <v>45</v>
      </c>
      <c r="BS435" s="18">
        <v>18</v>
      </c>
      <c r="BT435" s="18">
        <v>3</v>
      </c>
      <c r="BU435" s="18">
        <v>0</v>
      </c>
      <c r="BV435" s="18">
        <v>138</v>
      </c>
      <c r="BW435" s="15">
        <f t="shared" si="23"/>
        <v>138</v>
      </c>
      <c r="BY435" s="18" t="s">
        <v>5134</v>
      </c>
      <c r="BZ435" s="18" t="s">
        <v>6361</v>
      </c>
      <c r="CD435" s="18" t="s">
        <v>5127</v>
      </c>
      <c r="CE435" s="18" t="s">
        <v>111</v>
      </c>
      <c r="CF435" s="18" t="s">
        <v>5282</v>
      </c>
      <c r="CG435" s="18" t="s">
        <v>5219</v>
      </c>
      <c r="CH435" s="18" t="s">
        <v>5551</v>
      </c>
      <c r="CI435" s="18" t="s">
        <v>111</v>
      </c>
      <c r="CJ435" s="18" t="s">
        <v>5196</v>
      </c>
      <c r="CK435" s="18" t="s">
        <v>5341</v>
      </c>
      <c r="CL435" s="18">
        <v>3</v>
      </c>
      <c r="CM435" s="18">
        <v>0</v>
      </c>
      <c r="CN435" s="18">
        <v>0</v>
      </c>
      <c r="CO435" s="18">
        <v>1</v>
      </c>
      <c r="CP435" s="18">
        <v>1</v>
      </c>
      <c r="CQ435" s="18">
        <v>1</v>
      </c>
      <c r="CR435" s="18">
        <v>0</v>
      </c>
      <c r="CS435" s="18">
        <v>1</v>
      </c>
      <c r="CT435" s="18">
        <v>1</v>
      </c>
      <c r="CU435" s="18">
        <v>1</v>
      </c>
      <c r="CV435" s="18">
        <v>1</v>
      </c>
      <c r="CX435" s="18">
        <v>1</v>
      </c>
      <c r="CY435" s="18">
        <v>0</v>
      </c>
      <c r="CZ435" s="18">
        <v>1</v>
      </c>
      <c r="DA435" s="18">
        <v>1</v>
      </c>
      <c r="DB435" s="18">
        <v>1</v>
      </c>
      <c r="DC435" s="18">
        <v>1</v>
      </c>
      <c r="DD435" s="18">
        <v>0</v>
      </c>
      <c r="DE435" s="18">
        <v>1</v>
      </c>
      <c r="DF435" s="18">
        <v>2</v>
      </c>
      <c r="DG435" s="18">
        <v>1</v>
      </c>
      <c r="DH435" s="18">
        <v>1</v>
      </c>
      <c r="DI435" s="18">
        <v>1</v>
      </c>
      <c r="DK435" s="18">
        <v>0</v>
      </c>
      <c r="DL435" s="18">
        <v>1</v>
      </c>
      <c r="DM435" s="18" t="s">
        <v>5127</v>
      </c>
      <c r="DN435" s="18" t="s">
        <v>5172</v>
      </c>
      <c r="DO435" s="18" t="s">
        <v>5665</v>
      </c>
      <c r="DP435" s="18" t="s">
        <v>113</v>
      </c>
      <c r="DQ435" s="18" t="s">
        <v>5168</v>
      </c>
      <c r="DS435" s="18">
        <v>80</v>
      </c>
      <c r="DT435" s="18">
        <v>1</v>
      </c>
      <c r="DU435" s="18">
        <v>1</v>
      </c>
      <c r="DV435" s="18" t="s">
        <v>6492</v>
      </c>
      <c r="DX435" s="18" t="s">
        <v>5222</v>
      </c>
      <c r="DY435" s="18" t="s">
        <v>113</v>
      </c>
      <c r="DZ435" s="18" t="s">
        <v>113</v>
      </c>
      <c r="EA435" s="18" t="s">
        <v>5202</v>
      </c>
      <c r="EB435" s="18">
        <v>366</v>
      </c>
      <c r="EC435" s="18" t="s">
        <v>106</v>
      </c>
      <c r="ED435" s="18" t="s">
        <v>5176</v>
      </c>
      <c r="EE435" s="18" t="s">
        <v>106</v>
      </c>
      <c r="EF435" s="18" t="s">
        <v>113</v>
      </c>
      <c r="EG435" s="18" t="s">
        <v>6266</v>
      </c>
      <c r="EH435" s="18" t="s">
        <v>5203</v>
      </c>
      <c r="EI435" s="18" t="s">
        <v>5204</v>
      </c>
      <c r="EJ435" s="18" t="s">
        <v>6071</v>
      </c>
      <c r="EK435" s="18" t="s">
        <v>5362</v>
      </c>
      <c r="EL435" s="18" t="s">
        <v>5460</v>
      </c>
      <c r="EM435" s="18" t="s">
        <v>5274</v>
      </c>
      <c r="EN435" s="18" t="s">
        <v>113</v>
      </c>
      <c r="EO435" s="18" t="s">
        <v>113</v>
      </c>
      <c r="EP435" s="18" t="s">
        <v>113</v>
      </c>
      <c r="EQ435" s="18" t="s">
        <v>106</v>
      </c>
      <c r="ER435" s="18" t="s">
        <v>5155</v>
      </c>
      <c r="ES435" s="18" t="s">
        <v>5447</v>
      </c>
      <c r="ET435" s="18" t="s">
        <v>5154</v>
      </c>
      <c r="EU435" s="18" t="s">
        <v>5155</v>
      </c>
      <c r="EV435" s="18" t="s">
        <v>5228</v>
      </c>
      <c r="EW435" s="18" t="s">
        <v>6493</v>
      </c>
      <c r="EX435" s="18" t="s">
        <v>5158</v>
      </c>
      <c r="EY435" s="18" t="s">
        <v>5292</v>
      </c>
      <c r="EZ435" s="18" t="s">
        <v>5308</v>
      </c>
      <c r="FA435" s="18" t="s">
        <v>144</v>
      </c>
      <c r="FB435" s="18" t="s">
        <v>5161</v>
      </c>
    </row>
    <row r="436" spans="1:158" ht="10.5" customHeight="1" x14ac:dyDescent="0.2">
      <c r="A436" s="18">
        <v>41</v>
      </c>
      <c r="B436" s="18" t="s">
        <v>4224</v>
      </c>
      <c r="C436" s="18" t="s">
        <v>4223</v>
      </c>
      <c r="D436" s="18">
        <v>2496</v>
      </c>
      <c r="E436" s="16" t="s">
        <v>6656</v>
      </c>
      <c r="F436" s="18" t="s">
        <v>4223</v>
      </c>
      <c r="G436" s="18" t="s">
        <v>113</v>
      </c>
      <c r="H436" s="15" t="s">
        <v>111</v>
      </c>
      <c r="AT436" s="17">
        <f>(365*D436*0.7)/1000</f>
        <v>637.72799999999995</v>
      </c>
      <c r="AU436" s="17">
        <f t="shared" si="22"/>
        <v>0</v>
      </c>
      <c r="BW436" s="15">
        <f t="shared" si="23"/>
        <v>0</v>
      </c>
    </row>
    <row r="437" spans="1:158" ht="10.5" customHeight="1" x14ac:dyDescent="0.2">
      <c r="A437" s="18">
        <v>41</v>
      </c>
      <c r="B437" s="18" t="s">
        <v>4207</v>
      </c>
      <c r="C437" s="18" t="s">
        <v>4206</v>
      </c>
      <c r="D437" s="18">
        <v>45534</v>
      </c>
      <c r="E437" s="16" t="s">
        <v>6658</v>
      </c>
      <c r="F437" s="18" t="s">
        <v>4206</v>
      </c>
      <c r="G437" s="18" t="s">
        <v>106</v>
      </c>
      <c r="H437" s="15" t="s">
        <v>5127</v>
      </c>
      <c r="I437" s="18">
        <v>23</v>
      </c>
      <c r="J437" s="18">
        <v>5</v>
      </c>
      <c r="K437" s="18">
        <v>18</v>
      </c>
      <c r="L437" s="18">
        <v>0</v>
      </c>
      <c r="M437" s="18" t="s">
        <v>5183</v>
      </c>
      <c r="N437" s="18" t="s">
        <v>6494</v>
      </c>
      <c r="O437" s="18">
        <v>46686</v>
      </c>
      <c r="T437" s="18" t="s">
        <v>111</v>
      </c>
      <c r="U437" s="18" t="s">
        <v>5185</v>
      </c>
      <c r="V437" s="18" t="s">
        <v>106</v>
      </c>
      <c r="W437" s="18" t="s">
        <v>113</v>
      </c>
      <c r="Y437" s="18" t="s">
        <v>5574</v>
      </c>
      <c r="Z437" s="18" t="s">
        <v>106</v>
      </c>
      <c r="AA437" s="18" t="s">
        <v>5163</v>
      </c>
      <c r="AB437" s="18" t="s">
        <v>179</v>
      </c>
      <c r="AC437" s="18" t="s">
        <v>5127</v>
      </c>
      <c r="AD437" s="18" t="s">
        <v>5127</v>
      </c>
      <c r="AE437" s="18" t="s">
        <v>5127</v>
      </c>
      <c r="AF437" s="18" t="s">
        <v>111</v>
      </c>
      <c r="AG437" s="18" t="s">
        <v>5127</v>
      </c>
      <c r="AH437" s="18" t="s">
        <v>111</v>
      </c>
      <c r="AI437" s="18">
        <v>1</v>
      </c>
      <c r="AK437" s="18" t="s">
        <v>5164</v>
      </c>
      <c r="AN437" s="18">
        <v>2572000</v>
      </c>
      <c r="AO437" s="18" t="s">
        <v>5165</v>
      </c>
      <c r="AP437" s="18" t="s">
        <v>6495</v>
      </c>
      <c r="AQ437" s="18" t="s">
        <v>5252</v>
      </c>
      <c r="AR437" s="18" t="s">
        <v>5132</v>
      </c>
      <c r="AT437" s="17">
        <f>(365*D437*0.7)/1000</f>
        <v>11633.937</v>
      </c>
      <c r="AU437" s="17">
        <f t="shared" si="22"/>
        <v>114.27500000000001</v>
      </c>
      <c r="AV437" s="18">
        <f>114275/1000</f>
        <v>114.27500000000001</v>
      </c>
      <c r="AW437" s="18">
        <v>0</v>
      </c>
      <c r="AY437" s="18" t="s">
        <v>6496</v>
      </c>
      <c r="BG437" s="18" t="s">
        <v>164</v>
      </c>
      <c r="BQ437" s="18">
        <v>750</v>
      </c>
      <c r="BR437" s="18">
        <v>680</v>
      </c>
      <c r="BS437" s="18">
        <v>550</v>
      </c>
      <c r="BT437" s="18">
        <v>280</v>
      </c>
      <c r="BU437" s="18">
        <v>197</v>
      </c>
      <c r="BV437" s="18">
        <f>2457000/1000</f>
        <v>2457</v>
      </c>
      <c r="BW437" s="15">
        <f t="shared" si="23"/>
        <v>2457</v>
      </c>
      <c r="BY437" s="18" t="s">
        <v>5239</v>
      </c>
      <c r="BZ437" s="18" t="s">
        <v>6441</v>
      </c>
      <c r="CD437" s="18" t="s">
        <v>5127</v>
      </c>
      <c r="CE437" s="18" t="s">
        <v>111</v>
      </c>
      <c r="CF437" s="18" t="s">
        <v>5529</v>
      </c>
      <c r="CG437" s="18" t="s">
        <v>5570</v>
      </c>
      <c r="CH437" s="18" t="s">
        <v>111</v>
      </c>
      <c r="CI437" s="18" t="s">
        <v>5138</v>
      </c>
      <c r="CJ437" s="18" t="s">
        <v>5139</v>
      </c>
      <c r="CK437" s="18" t="s">
        <v>5197</v>
      </c>
      <c r="CL437" s="18">
        <v>4</v>
      </c>
      <c r="CM437" s="18">
        <v>0</v>
      </c>
      <c r="CN437" s="18">
        <v>1</v>
      </c>
      <c r="CO437" s="18">
        <v>1</v>
      </c>
      <c r="CP437" s="18" t="s">
        <v>5141</v>
      </c>
      <c r="CQ437" s="18">
        <v>5</v>
      </c>
      <c r="CR437" s="18">
        <v>1</v>
      </c>
      <c r="CS437" s="18" t="s">
        <v>5141</v>
      </c>
      <c r="CT437" s="18">
        <v>1</v>
      </c>
      <c r="CU437" s="18">
        <v>1</v>
      </c>
      <c r="CV437" s="18" t="s">
        <v>5141</v>
      </c>
      <c r="CX437" s="18">
        <v>0</v>
      </c>
      <c r="CY437" s="18">
        <v>0</v>
      </c>
      <c r="CZ437" s="18">
        <v>0</v>
      </c>
      <c r="DA437" s="18">
        <v>0</v>
      </c>
      <c r="DB437" s="18">
        <v>0</v>
      </c>
      <c r="DC437" s="18">
        <v>4</v>
      </c>
      <c r="DD437" s="18">
        <v>0</v>
      </c>
      <c r="DE437" s="18">
        <v>0</v>
      </c>
      <c r="DF437" s="18">
        <v>0</v>
      </c>
      <c r="DG437" s="18">
        <v>0</v>
      </c>
      <c r="DH437" s="18">
        <v>0</v>
      </c>
      <c r="DI437" s="18">
        <v>0</v>
      </c>
      <c r="DK437" s="18">
        <v>0</v>
      </c>
      <c r="DL437" s="18">
        <v>0</v>
      </c>
      <c r="DM437" s="18" t="s">
        <v>5127</v>
      </c>
      <c r="DN437" s="18" t="s">
        <v>5172</v>
      </c>
      <c r="DO437" s="18" t="s">
        <v>5259</v>
      </c>
      <c r="DP437" s="18" t="s">
        <v>113</v>
      </c>
      <c r="DS437" s="18">
        <v>0</v>
      </c>
      <c r="DT437" s="18">
        <v>1</v>
      </c>
      <c r="DU437" s="18">
        <v>1</v>
      </c>
      <c r="DV437" s="18" t="s">
        <v>5342</v>
      </c>
      <c r="DX437" s="18" t="s">
        <v>5145</v>
      </c>
      <c r="DY437" s="18" t="s">
        <v>106</v>
      </c>
      <c r="DZ437" s="18" t="s">
        <v>113</v>
      </c>
      <c r="EA437" s="18" t="s">
        <v>5453</v>
      </c>
      <c r="EB437" s="18">
        <v>1430000</v>
      </c>
      <c r="EC437" s="18" t="s">
        <v>106</v>
      </c>
      <c r="ED437" s="18" t="s">
        <v>5147</v>
      </c>
      <c r="EE437" s="18" t="s">
        <v>113</v>
      </c>
      <c r="EF437" s="18" t="s">
        <v>113</v>
      </c>
      <c r="EG437" s="18" t="s">
        <v>5148</v>
      </c>
      <c r="EH437" s="18" t="s">
        <v>5149</v>
      </c>
      <c r="EI437" s="18" t="s">
        <v>5204</v>
      </c>
      <c r="EJ437" s="18" t="s">
        <v>5205</v>
      </c>
      <c r="EN437" s="18" t="s">
        <v>113</v>
      </c>
      <c r="EO437" s="18" t="s">
        <v>113</v>
      </c>
      <c r="EP437" s="18" t="s">
        <v>113</v>
      </c>
      <c r="EQ437" s="18" t="s">
        <v>113</v>
      </c>
      <c r="ER437" s="18" t="s">
        <v>5152</v>
      </c>
      <c r="ES437" s="18" t="s">
        <v>5153</v>
      </c>
      <c r="ET437" s="18" t="s">
        <v>5154</v>
      </c>
      <c r="EU437" s="18" t="s">
        <v>5155</v>
      </c>
      <c r="EV437" s="18" t="s">
        <v>5276</v>
      </c>
      <c r="EW437" s="18" t="s">
        <v>6497</v>
      </c>
      <c r="EX437" s="18" t="s">
        <v>5158</v>
      </c>
      <c r="EY437" s="18" t="s">
        <v>5159</v>
      </c>
      <c r="EZ437" s="18" t="s">
        <v>5931</v>
      </c>
      <c r="FA437" s="18" t="s">
        <v>144</v>
      </c>
      <c r="FB437" s="18" t="s">
        <v>5161</v>
      </c>
    </row>
    <row r="438" spans="1:158" ht="10.5" customHeight="1" x14ac:dyDescent="0.2">
      <c r="A438" s="18">
        <v>41</v>
      </c>
      <c r="B438" s="18" t="s">
        <v>4240</v>
      </c>
      <c r="C438" s="18" t="s">
        <v>4239</v>
      </c>
      <c r="D438" s="18">
        <v>2116</v>
      </c>
      <c r="E438" s="16" t="s">
        <v>6656</v>
      </c>
      <c r="F438" s="18" t="s">
        <v>4239</v>
      </c>
      <c r="G438" s="18" t="s">
        <v>113</v>
      </c>
      <c r="H438" s="15" t="s">
        <v>111</v>
      </c>
      <c r="AT438" s="17">
        <f>(365*D438*0.7)/1000</f>
        <v>540.63800000000003</v>
      </c>
      <c r="AU438" s="17">
        <f t="shared" si="22"/>
        <v>0</v>
      </c>
      <c r="BW438" s="15">
        <f t="shared" si="23"/>
        <v>0</v>
      </c>
    </row>
    <row r="439" spans="1:158" ht="10.5" customHeight="1" x14ac:dyDescent="0.2">
      <c r="A439" s="18">
        <v>41</v>
      </c>
      <c r="B439" s="18" t="s">
        <v>4250</v>
      </c>
      <c r="C439" s="18" t="s">
        <v>4249</v>
      </c>
      <c r="D439" s="18">
        <v>24644</v>
      </c>
      <c r="E439" s="16" t="s">
        <v>6658</v>
      </c>
      <c r="F439" s="18" t="s">
        <v>4249</v>
      </c>
      <c r="G439" s="18" t="s">
        <v>106</v>
      </c>
      <c r="H439" s="15" t="s">
        <v>5127</v>
      </c>
      <c r="I439" s="18">
        <v>24</v>
      </c>
      <c r="J439" s="18">
        <v>11</v>
      </c>
      <c r="K439" s="18">
        <v>11</v>
      </c>
      <c r="L439" s="18">
        <v>1</v>
      </c>
      <c r="M439" s="18" t="s">
        <v>5183</v>
      </c>
      <c r="N439" s="18" t="s">
        <v>6498</v>
      </c>
      <c r="O439" s="18">
        <v>46928</v>
      </c>
      <c r="T439" s="18" t="s">
        <v>111</v>
      </c>
      <c r="U439" s="18" t="s">
        <v>5123</v>
      </c>
      <c r="V439" s="18" t="s">
        <v>113</v>
      </c>
      <c r="W439" s="18" t="s">
        <v>5211</v>
      </c>
      <c r="Y439" s="18" t="s">
        <v>5212</v>
      </c>
      <c r="Z439" s="18" t="s">
        <v>106</v>
      </c>
      <c r="AA439" s="18" t="s">
        <v>5163</v>
      </c>
      <c r="AB439" s="18" t="s">
        <v>179</v>
      </c>
      <c r="AC439" s="18" t="s">
        <v>5127</v>
      </c>
      <c r="AD439" s="18" t="s">
        <v>5127</v>
      </c>
      <c r="AE439" s="18" t="s">
        <v>5127</v>
      </c>
      <c r="AF439" s="18" t="s">
        <v>5127</v>
      </c>
      <c r="AG439" s="18" t="s">
        <v>5127</v>
      </c>
      <c r="AH439" s="18" t="s">
        <v>5127</v>
      </c>
      <c r="AI439" s="18">
        <v>1</v>
      </c>
      <c r="AK439" s="18" t="s">
        <v>5164</v>
      </c>
      <c r="AN439" s="18">
        <v>0</v>
      </c>
      <c r="AO439" s="18" t="s">
        <v>5186</v>
      </c>
      <c r="AP439" s="18" t="s">
        <v>6499</v>
      </c>
      <c r="AQ439" s="18" t="s">
        <v>5269</v>
      </c>
      <c r="AR439" s="18" t="s">
        <v>5132</v>
      </c>
      <c r="AT439" s="17">
        <f>(365*D439*0.7)/1000</f>
        <v>6296.5420000000004</v>
      </c>
      <c r="AU439" s="17">
        <f t="shared" si="22"/>
        <v>450</v>
      </c>
      <c r="AV439" s="18">
        <v>450</v>
      </c>
      <c r="AW439" s="18">
        <v>0</v>
      </c>
      <c r="AY439" s="18" t="s">
        <v>164</v>
      </c>
      <c r="AZ439" s="18">
        <v>0</v>
      </c>
      <c r="BA439" s="18">
        <v>0</v>
      </c>
      <c r="BB439" s="18">
        <v>0</v>
      </c>
      <c r="BD439" s="18">
        <v>0</v>
      </c>
      <c r="BE439" s="18">
        <v>500</v>
      </c>
      <c r="BG439" s="18" t="s">
        <v>164</v>
      </c>
      <c r="BH439" s="18">
        <f>1000/1000</f>
        <v>1</v>
      </c>
      <c r="BI439" s="18">
        <v>0</v>
      </c>
      <c r="BJ439" s="18">
        <v>0</v>
      </c>
      <c r="BQ439" s="18">
        <v>150</v>
      </c>
      <c r="BR439" s="18">
        <v>100</v>
      </c>
      <c r="BS439" s="18">
        <v>100</v>
      </c>
      <c r="BT439" s="18">
        <v>50</v>
      </c>
      <c r="BU439" s="18">
        <v>50</v>
      </c>
      <c r="BV439" s="18">
        <v>450</v>
      </c>
      <c r="BW439" s="15">
        <f t="shared" si="23"/>
        <v>450</v>
      </c>
      <c r="BY439" s="18" t="s">
        <v>5134</v>
      </c>
      <c r="BZ439" s="18" t="s">
        <v>5192</v>
      </c>
      <c r="CD439" s="18" t="s">
        <v>5127</v>
      </c>
      <c r="CE439" s="18" t="s">
        <v>5127</v>
      </c>
      <c r="CF439" s="18" t="s">
        <v>5135</v>
      </c>
      <c r="CG439" s="18" t="s">
        <v>5193</v>
      </c>
      <c r="CH439" s="18" t="s">
        <v>5241</v>
      </c>
      <c r="CI439" s="18" t="s">
        <v>5138</v>
      </c>
      <c r="CJ439" s="18" t="s">
        <v>5196</v>
      </c>
      <c r="CK439" s="18" t="s">
        <v>5197</v>
      </c>
      <c r="CL439" s="18">
        <v>1</v>
      </c>
      <c r="CM439" s="18">
        <v>0</v>
      </c>
      <c r="CN439" s="18">
        <v>0</v>
      </c>
      <c r="CO439" s="18">
        <v>1</v>
      </c>
      <c r="CP439" s="18">
        <v>2</v>
      </c>
      <c r="CQ439" s="18">
        <v>0</v>
      </c>
      <c r="CR439" s="18">
        <v>0</v>
      </c>
      <c r="CS439" s="18">
        <v>0</v>
      </c>
      <c r="CT439" s="18">
        <v>0</v>
      </c>
      <c r="CU439" s="18">
        <v>0</v>
      </c>
      <c r="CV439" s="18">
        <v>0</v>
      </c>
      <c r="CX439" s="18">
        <v>1</v>
      </c>
      <c r="CY439" s="18">
        <v>1</v>
      </c>
      <c r="CZ439" s="18">
        <v>1</v>
      </c>
      <c r="DA439" s="18">
        <v>1</v>
      </c>
      <c r="DB439" s="18">
        <v>1</v>
      </c>
      <c r="DC439" s="18">
        <v>2</v>
      </c>
      <c r="DD439" s="18">
        <v>1</v>
      </c>
      <c r="DE439" s="18">
        <v>0</v>
      </c>
      <c r="DF439" s="18" t="s">
        <v>5141</v>
      </c>
      <c r="DG439" s="18">
        <v>1</v>
      </c>
      <c r="DH439" s="18" t="s">
        <v>5141</v>
      </c>
      <c r="DI439" s="18">
        <v>1</v>
      </c>
      <c r="DK439" s="18">
        <v>0</v>
      </c>
      <c r="DL439" s="18">
        <v>1</v>
      </c>
      <c r="DM439" s="18" t="s">
        <v>5127</v>
      </c>
      <c r="DN439" s="18" t="s">
        <v>5258</v>
      </c>
      <c r="DO439" s="18" t="s">
        <v>5199</v>
      </c>
      <c r="DP439" s="18" t="s">
        <v>106</v>
      </c>
      <c r="DQ439" s="18" t="s">
        <v>5132</v>
      </c>
      <c r="DS439" s="18">
        <v>450</v>
      </c>
      <c r="DT439" s="18">
        <v>1</v>
      </c>
      <c r="DU439" s="18">
        <v>1</v>
      </c>
      <c r="DV439" s="18" t="s">
        <v>5174</v>
      </c>
      <c r="DX439" s="18" t="s">
        <v>5222</v>
      </c>
      <c r="DY439" s="18" t="s">
        <v>106</v>
      </c>
      <c r="DZ439" s="18" t="s">
        <v>113</v>
      </c>
      <c r="EA439" s="18" t="s">
        <v>5794</v>
      </c>
      <c r="EB439" s="18">
        <v>450</v>
      </c>
      <c r="EC439" s="18" t="s">
        <v>106</v>
      </c>
      <c r="ED439" s="18" t="s">
        <v>5176</v>
      </c>
      <c r="EE439" s="18" t="s">
        <v>113</v>
      </c>
      <c r="EF439" s="18" t="s">
        <v>113</v>
      </c>
      <c r="EG439" s="18" t="s">
        <v>5148</v>
      </c>
      <c r="EH439" s="18" t="s">
        <v>5203</v>
      </c>
      <c r="EI439" s="18" t="s">
        <v>5204</v>
      </c>
      <c r="EJ439" s="18" t="s">
        <v>5245</v>
      </c>
      <c r="EK439" s="18" t="s">
        <v>5878</v>
      </c>
      <c r="EL439" s="18" t="s">
        <v>6500</v>
      </c>
      <c r="EM439" s="18" t="s">
        <v>5274</v>
      </c>
      <c r="EN439" s="18" t="s">
        <v>113</v>
      </c>
      <c r="EO439" s="18" t="s">
        <v>113</v>
      </c>
      <c r="EP439" s="18" t="s">
        <v>113</v>
      </c>
      <c r="EQ439" s="18" t="s">
        <v>113</v>
      </c>
      <c r="ER439" s="18" t="s">
        <v>5206</v>
      </c>
      <c r="ES439" s="18" t="s">
        <v>5153</v>
      </c>
      <c r="ET439" s="18" t="s">
        <v>5154</v>
      </c>
      <c r="EU439" s="18" t="s">
        <v>5318</v>
      </c>
      <c r="EV439" s="18" t="s">
        <v>5629</v>
      </c>
      <c r="EW439" s="18" t="s">
        <v>5431</v>
      </c>
      <c r="EX439" s="18" t="s">
        <v>5158</v>
      </c>
      <c r="EY439" s="18" t="s">
        <v>5229</v>
      </c>
      <c r="EZ439" s="18" t="s">
        <v>5160</v>
      </c>
      <c r="FA439" s="18" t="s">
        <v>144</v>
      </c>
      <c r="FB439" s="18" t="s">
        <v>5161</v>
      </c>
    </row>
    <row r="440" spans="1:158" ht="10.5" customHeight="1" x14ac:dyDescent="0.2">
      <c r="A440" s="18">
        <v>41</v>
      </c>
      <c r="B440" s="18" t="s">
        <v>4263</v>
      </c>
      <c r="C440" s="18" t="s">
        <v>4262</v>
      </c>
      <c r="D440" s="18">
        <v>6397</v>
      </c>
      <c r="E440" s="16" t="s">
        <v>6656</v>
      </c>
      <c r="F440" s="18" t="s">
        <v>4262</v>
      </c>
      <c r="G440" s="18" t="s">
        <v>106</v>
      </c>
      <c r="H440" s="15" t="s">
        <v>5127</v>
      </c>
      <c r="I440" s="18">
        <v>11</v>
      </c>
      <c r="J440" s="18">
        <v>3</v>
      </c>
      <c r="K440" s="18">
        <v>8</v>
      </c>
      <c r="L440" s="18">
        <v>0</v>
      </c>
      <c r="M440" s="18" t="s">
        <v>5183</v>
      </c>
      <c r="N440" s="18">
        <v>263003</v>
      </c>
      <c r="O440" s="18">
        <v>46056</v>
      </c>
      <c r="T440" s="18" t="s">
        <v>111</v>
      </c>
      <c r="U440" s="18" t="s">
        <v>5250</v>
      </c>
      <c r="V440" s="18" t="s">
        <v>106</v>
      </c>
      <c r="W440" s="18" t="s">
        <v>5211</v>
      </c>
      <c r="Y440" s="18" t="s">
        <v>5309</v>
      </c>
      <c r="Z440" s="18" t="s">
        <v>106</v>
      </c>
      <c r="AA440" s="18" t="s">
        <v>5267</v>
      </c>
      <c r="AC440" s="18" t="s">
        <v>5127</v>
      </c>
      <c r="AD440" s="18" t="s">
        <v>111</v>
      </c>
      <c r="AE440" s="18" t="s">
        <v>5127</v>
      </c>
      <c r="AF440" s="18" t="s">
        <v>111</v>
      </c>
      <c r="AG440" s="18" t="s">
        <v>5127</v>
      </c>
      <c r="AH440" s="18" t="s">
        <v>111</v>
      </c>
      <c r="AI440" s="18">
        <v>1</v>
      </c>
      <c r="AK440" s="18" t="s">
        <v>6356</v>
      </c>
      <c r="AN440" s="18">
        <v>0</v>
      </c>
      <c r="AO440" s="18" t="s">
        <v>5391</v>
      </c>
      <c r="AP440" s="18" t="s">
        <v>6501</v>
      </c>
      <c r="AQ440" s="18" t="s">
        <v>5252</v>
      </c>
      <c r="AR440" s="18" t="s">
        <v>179</v>
      </c>
      <c r="AT440" s="17">
        <f>(365*D440*0.7)/1000</f>
        <v>1634.4335000000001</v>
      </c>
      <c r="AU440" s="17">
        <f t="shared" si="22"/>
        <v>0</v>
      </c>
      <c r="AV440" s="18">
        <v>0</v>
      </c>
      <c r="AW440" s="18">
        <v>0</v>
      </c>
      <c r="AY440" s="18" t="s">
        <v>164</v>
      </c>
      <c r="AZ440" s="18">
        <v>0</v>
      </c>
      <c r="BA440" s="18">
        <v>0</v>
      </c>
      <c r="BB440" s="18">
        <v>0</v>
      </c>
      <c r="BD440" s="18">
        <v>0</v>
      </c>
      <c r="BE440" s="18">
        <v>0</v>
      </c>
      <c r="BG440" s="18" t="s">
        <v>164</v>
      </c>
      <c r="BH440" s="18">
        <v>0</v>
      </c>
      <c r="BI440" s="18">
        <v>0</v>
      </c>
      <c r="BJ440" s="18">
        <v>0</v>
      </c>
      <c r="BQ440" s="18">
        <f>30000/1000</f>
        <v>30</v>
      </c>
      <c r="BR440" s="18">
        <f>12000/1000</f>
        <v>12</v>
      </c>
      <c r="BS440" s="18">
        <f>2000/1000</f>
        <v>2</v>
      </c>
      <c r="BT440" s="18">
        <f>21550/1000</f>
        <v>21.55</v>
      </c>
      <c r="BU440" s="18">
        <v>0</v>
      </c>
      <c r="BV440" s="18">
        <f>SUM(BQ440:BU440)</f>
        <v>65.55</v>
      </c>
      <c r="BW440" s="15">
        <f t="shared" si="23"/>
        <v>65.55</v>
      </c>
      <c r="BY440" s="18" t="s">
        <v>5134</v>
      </c>
      <c r="BZ440" s="18" t="s">
        <v>193</v>
      </c>
      <c r="CD440" s="18" t="s">
        <v>5127</v>
      </c>
      <c r="CE440" s="18" t="s">
        <v>111</v>
      </c>
      <c r="CF440" s="18" t="s">
        <v>5135</v>
      </c>
      <c r="CG440" s="18" t="s">
        <v>5427</v>
      </c>
      <c r="CH440" s="18" t="s">
        <v>111</v>
      </c>
      <c r="CI440" s="18" t="s">
        <v>5138</v>
      </c>
      <c r="CJ440" s="18" t="s">
        <v>5139</v>
      </c>
      <c r="CK440" s="18" t="s">
        <v>5197</v>
      </c>
      <c r="CL440" s="18">
        <v>1</v>
      </c>
      <c r="CM440" s="18">
        <v>0</v>
      </c>
      <c r="CN440" s="18">
        <v>0</v>
      </c>
      <c r="CO440" s="18" t="s">
        <v>5887</v>
      </c>
      <c r="CP440" s="18" t="s">
        <v>5887</v>
      </c>
      <c r="CQ440" s="18">
        <v>1</v>
      </c>
      <c r="CR440" s="18">
        <v>0</v>
      </c>
      <c r="CS440" s="18">
        <v>0</v>
      </c>
      <c r="CT440" s="18">
        <v>1</v>
      </c>
      <c r="CU440" s="18">
        <v>0</v>
      </c>
      <c r="CV440" s="18">
        <v>1</v>
      </c>
      <c r="CX440" s="18">
        <v>1</v>
      </c>
      <c r="CY440" s="18">
        <v>1</v>
      </c>
      <c r="CZ440" s="18">
        <v>0</v>
      </c>
      <c r="DA440" s="18">
        <v>1</v>
      </c>
      <c r="DB440" s="18">
        <v>0</v>
      </c>
      <c r="DC440" s="18">
        <v>1</v>
      </c>
      <c r="DD440" s="18">
        <v>1</v>
      </c>
      <c r="DE440" s="18">
        <v>1</v>
      </c>
      <c r="DF440" s="18">
        <v>1</v>
      </c>
      <c r="DG440" s="18">
        <v>1</v>
      </c>
      <c r="DH440" s="18">
        <v>1</v>
      </c>
      <c r="DI440" s="18">
        <v>1</v>
      </c>
      <c r="DK440" s="18">
        <v>0</v>
      </c>
      <c r="DL440" s="18">
        <v>1</v>
      </c>
      <c r="DM440" s="18" t="s">
        <v>5127</v>
      </c>
      <c r="DN440" s="18" t="s">
        <v>5314</v>
      </c>
      <c r="DO440" s="18" t="s">
        <v>5259</v>
      </c>
      <c r="DP440" s="18" t="s">
        <v>113</v>
      </c>
      <c r="DS440" s="18">
        <v>0</v>
      </c>
      <c r="DT440" s="18">
        <v>0</v>
      </c>
      <c r="DU440" s="18">
        <v>1</v>
      </c>
      <c r="DV440" s="18" t="s">
        <v>6502</v>
      </c>
      <c r="DX440" s="18" t="s">
        <v>5201</v>
      </c>
      <c r="DY440" s="18" t="s">
        <v>106</v>
      </c>
      <c r="DZ440" s="18" t="s">
        <v>113</v>
      </c>
      <c r="EA440" s="18" t="s">
        <v>6128</v>
      </c>
      <c r="EB440" s="18">
        <v>132000</v>
      </c>
      <c r="EC440" s="18" t="s">
        <v>106</v>
      </c>
      <c r="ED440" s="18" t="s">
        <v>5147</v>
      </c>
      <c r="EG440" s="18" t="s">
        <v>5148</v>
      </c>
      <c r="EH440" s="18" t="s">
        <v>5203</v>
      </c>
      <c r="EI440" s="18" t="s">
        <v>5204</v>
      </c>
      <c r="EJ440" s="18" t="s">
        <v>5338</v>
      </c>
      <c r="EK440" s="18" t="s">
        <v>113</v>
      </c>
      <c r="EN440" s="18" t="s">
        <v>113</v>
      </c>
      <c r="EO440" s="18" t="s">
        <v>113</v>
      </c>
      <c r="EP440" s="18" t="s">
        <v>113</v>
      </c>
      <c r="EQ440" s="18" t="s">
        <v>106</v>
      </c>
      <c r="ER440" s="18" t="s">
        <v>5152</v>
      </c>
      <c r="ES440" s="18" t="s">
        <v>5153</v>
      </c>
      <c r="ET440" s="18" t="s">
        <v>5154</v>
      </c>
      <c r="EU440" s="18" t="s">
        <v>5318</v>
      </c>
      <c r="EV440" s="18" t="s">
        <v>5329</v>
      </c>
      <c r="EW440" s="18" t="s">
        <v>5406</v>
      </c>
      <c r="EX440" s="18" t="s">
        <v>5158</v>
      </c>
      <c r="EY440" s="18" t="s">
        <v>5278</v>
      </c>
      <c r="FA440" s="18" t="s">
        <v>144</v>
      </c>
      <c r="FB440" s="18" t="s">
        <v>5161</v>
      </c>
    </row>
    <row r="441" spans="1:158" ht="10.5" customHeight="1" x14ac:dyDescent="0.2">
      <c r="A441" s="18">
        <v>41</v>
      </c>
      <c r="B441" s="18" t="s">
        <v>4278</v>
      </c>
      <c r="C441" s="18" t="s">
        <v>4277</v>
      </c>
      <c r="D441" s="18">
        <v>6712</v>
      </c>
      <c r="E441" s="16" t="s">
        <v>6656</v>
      </c>
      <c r="H441" s="15" t="s">
        <v>6661</v>
      </c>
      <c r="AT441" s="17">
        <f>(365*D441*0.7)/1000</f>
        <v>1714.9159999999999</v>
      </c>
      <c r="AU441" s="17">
        <f t="shared" si="22"/>
        <v>0</v>
      </c>
      <c r="BW441" s="15">
        <f t="shared" si="23"/>
        <v>0</v>
      </c>
    </row>
    <row r="442" spans="1:158" ht="10.5" customHeight="1" x14ac:dyDescent="0.2">
      <c r="A442" s="18">
        <v>41</v>
      </c>
      <c r="B442" s="18" t="s">
        <v>4288</v>
      </c>
      <c r="C442" s="18" t="s">
        <v>4287</v>
      </c>
      <c r="D442" s="18">
        <v>10913</v>
      </c>
      <c r="E442" s="16" t="s">
        <v>6656</v>
      </c>
      <c r="F442" s="18" t="s">
        <v>4287</v>
      </c>
      <c r="G442" s="18" t="s">
        <v>106</v>
      </c>
      <c r="H442" s="15" t="s">
        <v>5127</v>
      </c>
      <c r="I442" s="18">
        <v>7</v>
      </c>
      <c r="J442" s="18">
        <v>5</v>
      </c>
      <c r="K442" s="18">
        <v>2</v>
      </c>
      <c r="M442" s="18" t="s">
        <v>5183</v>
      </c>
      <c r="N442" s="18">
        <v>303696</v>
      </c>
      <c r="O442" s="18">
        <v>47353</v>
      </c>
      <c r="T442" s="18" t="s">
        <v>111</v>
      </c>
      <c r="U442" s="18" t="s">
        <v>5250</v>
      </c>
      <c r="V442" s="18" t="s">
        <v>113</v>
      </c>
      <c r="W442" s="18" t="s">
        <v>5211</v>
      </c>
      <c r="Y442" s="18" t="s">
        <v>5232</v>
      </c>
      <c r="Z442" s="18" t="s">
        <v>113</v>
      </c>
      <c r="AA442" s="18" t="s">
        <v>5163</v>
      </c>
      <c r="AB442" s="18" t="s">
        <v>179</v>
      </c>
      <c r="AC442" s="18" t="s">
        <v>111</v>
      </c>
      <c r="AD442" s="18" t="s">
        <v>5127</v>
      </c>
      <c r="AE442" s="18" t="s">
        <v>5127</v>
      </c>
      <c r="AF442" s="18" t="s">
        <v>111</v>
      </c>
      <c r="AG442" s="18" t="s">
        <v>5127</v>
      </c>
      <c r="AH442" s="18" t="s">
        <v>111</v>
      </c>
      <c r="AI442" s="18">
        <v>0</v>
      </c>
      <c r="AK442" s="18" t="s">
        <v>5128</v>
      </c>
      <c r="AN442" s="18">
        <v>260</v>
      </c>
      <c r="AO442" s="18" t="s">
        <v>5294</v>
      </c>
      <c r="AP442" s="18" t="s">
        <v>6503</v>
      </c>
      <c r="AQ442" s="18" t="s">
        <v>5711</v>
      </c>
      <c r="AR442" s="18" t="s">
        <v>5464</v>
      </c>
      <c r="AT442" s="17">
        <f>(365*D442*0.7)/1000</f>
        <v>2788.2714999999998</v>
      </c>
      <c r="AU442" s="17">
        <f t="shared" si="22"/>
        <v>80</v>
      </c>
      <c r="AV442" s="18">
        <v>80</v>
      </c>
      <c r="AW442" s="18">
        <v>0</v>
      </c>
      <c r="AY442" s="18" t="s">
        <v>5334</v>
      </c>
      <c r="AZ442" s="18">
        <v>0</v>
      </c>
      <c r="BA442" s="18">
        <v>0</v>
      </c>
      <c r="BB442" s="18">
        <v>0</v>
      </c>
      <c r="BD442" s="18">
        <v>0</v>
      </c>
      <c r="BE442" s="18">
        <v>250</v>
      </c>
      <c r="BG442" s="18" t="s">
        <v>5190</v>
      </c>
      <c r="BH442" s="18">
        <v>0</v>
      </c>
      <c r="BI442" s="18">
        <v>0</v>
      </c>
      <c r="BJ442" s="18">
        <v>0</v>
      </c>
      <c r="BQ442" s="18">
        <v>20</v>
      </c>
      <c r="BR442" s="18">
        <v>40</v>
      </c>
      <c r="BS442" s="18">
        <v>60</v>
      </c>
      <c r="BT442" s="18">
        <v>50</v>
      </c>
      <c r="BU442" s="18">
        <v>10</v>
      </c>
      <c r="BV442" s="18">
        <v>180</v>
      </c>
      <c r="BW442" s="15">
        <f t="shared" si="23"/>
        <v>180</v>
      </c>
      <c r="BY442" s="18" t="s">
        <v>5134</v>
      </c>
      <c r="BZ442" s="18" t="s">
        <v>193</v>
      </c>
      <c r="CD442" s="18" t="s">
        <v>5127</v>
      </c>
      <c r="CE442" s="18" t="s">
        <v>5127</v>
      </c>
      <c r="CF442" s="18" t="s">
        <v>5135</v>
      </c>
      <c r="CG442" s="18" t="s">
        <v>5465</v>
      </c>
      <c r="CH442" s="18" t="s">
        <v>111</v>
      </c>
      <c r="CI442" s="18" t="s">
        <v>5138</v>
      </c>
      <c r="CJ442" s="18" t="s">
        <v>5139</v>
      </c>
      <c r="CK442" s="18" t="s">
        <v>5171</v>
      </c>
      <c r="CL442" s="18">
        <v>1</v>
      </c>
      <c r="CM442" s="18">
        <v>0</v>
      </c>
      <c r="CN442" s="18">
        <v>0</v>
      </c>
      <c r="CO442" s="18">
        <v>0</v>
      </c>
      <c r="CP442" s="18">
        <v>1</v>
      </c>
      <c r="CQ442" s="18">
        <v>0</v>
      </c>
      <c r="CR442" s="18">
        <v>0</v>
      </c>
      <c r="CS442" s="18" t="s">
        <v>5141</v>
      </c>
      <c r="CT442" s="18">
        <v>0</v>
      </c>
      <c r="CU442" s="18">
        <v>0</v>
      </c>
      <c r="CV442" s="18">
        <v>0</v>
      </c>
      <c r="CX442" s="18">
        <v>1</v>
      </c>
      <c r="CY442" s="18">
        <v>1</v>
      </c>
      <c r="CZ442" s="18">
        <v>1</v>
      </c>
      <c r="DA442" s="18">
        <v>1</v>
      </c>
      <c r="DB442" s="18">
        <v>1</v>
      </c>
      <c r="DC442" s="18">
        <v>1</v>
      </c>
      <c r="DD442" s="18">
        <v>1</v>
      </c>
      <c r="DE442" s="18">
        <v>1</v>
      </c>
      <c r="DF442" s="18" t="s">
        <v>5141</v>
      </c>
      <c r="DG442" s="18">
        <v>1</v>
      </c>
      <c r="DH442" s="18">
        <v>1</v>
      </c>
      <c r="DI442" s="18">
        <v>1</v>
      </c>
      <c r="DK442" s="18">
        <v>0</v>
      </c>
      <c r="DL442" s="18">
        <v>1</v>
      </c>
      <c r="DM442" s="18" t="s">
        <v>111</v>
      </c>
      <c r="DN442" s="18" t="s">
        <v>5359</v>
      </c>
      <c r="DO442" s="18" t="s">
        <v>5173</v>
      </c>
      <c r="DP442" s="18" t="s">
        <v>106</v>
      </c>
      <c r="DQ442" s="18" t="s">
        <v>5464</v>
      </c>
      <c r="DS442" s="18" t="s">
        <v>745</v>
      </c>
      <c r="DT442" s="18">
        <v>0</v>
      </c>
      <c r="DU442" s="18">
        <v>2</v>
      </c>
      <c r="DV442" s="18" t="s">
        <v>5174</v>
      </c>
      <c r="DX442" s="18" t="s">
        <v>5222</v>
      </c>
      <c r="DY442" s="18" t="s">
        <v>106</v>
      </c>
      <c r="DZ442" s="18" t="s">
        <v>113</v>
      </c>
      <c r="EA442" s="18" t="s">
        <v>5285</v>
      </c>
      <c r="EB442" s="18">
        <v>180</v>
      </c>
      <c r="EC442" s="18" t="s">
        <v>113</v>
      </c>
      <c r="ED442" s="18" t="s">
        <v>5147</v>
      </c>
      <c r="EE442" s="18" t="s">
        <v>113</v>
      </c>
      <c r="EF442" s="18" t="s">
        <v>113</v>
      </c>
      <c r="EG442" s="18" t="s">
        <v>5404</v>
      </c>
      <c r="EH442" s="18" t="s">
        <v>5203</v>
      </c>
      <c r="EI442" s="18" t="s">
        <v>5204</v>
      </c>
      <c r="EJ442" s="18" t="s">
        <v>5327</v>
      </c>
      <c r="EK442" s="18" t="s">
        <v>113</v>
      </c>
      <c r="EN442" s="18" t="s">
        <v>113</v>
      </c>
      <c r="EO442" s="18" t="s">
        <v>113</v>
      </c>
      <c r="EP442" s="18" t="s">
        <v>113</v>
      </c>
      <c r="EQ442" s="18" t="s">
        <v>113</v>
      </c>
      <c r="ER442" s="18" t="s">
        <v>5152</v>
      </c>
      <c r="ES442" s="18" t="s">
        <v>5153</v>
      </c>
      <c r="ET442" s="18" t="s">
        <v>5154</v>
      </c>
      <c r="EU442" s="18" t="s">
        <v>5155</v>
      </c>
      <c r="EV442" s="18" t="s">
        <v>5276</v>
      </c>
      <c r="EW442" s="18" t="s">
        <v>5291</v>
      </c>
      <c r="EX442" s="18" t="s">
        <v>5158</v>
      </c>
      <c r="EY442" s="18" t="s">
        <v>5229</v>
      </c>
      <c r="EZ442" s="18" t="s">
        <v>5308</v>
      </c>
      <c r="FA442" s="18" t="s">
        <v>144</v>
      </c>
      <c r="FB442" s="18" t="s">
        <v>5161</v>
      </c>
    </row>
    <row r="443" spans="1:158" ht="10.5" customHeight="1" x14ac:dyDescent="0.2">
      <c r="A443" s="18">
        <v>41</v>
      </c>
      <c r="B443" s="18" t="s">
        <v>4299</v>
      </c>
      <c r="C443" s="18" t="s">
        <v>4298</v>
      </c>
      <c r="D443" s="18">
        <v>12230</v>
      </c>
      <c r="E443" s="16" t="s">
        <v>6656</v>
      </c>
      <c r="H443" s="15" t="s">
        <v>6661</v>
      </c>
      <c r="AT443" s="17">
        <f>(365*D443*0.7)/1000</f>
        <v>3124.7649999999999</v>
      </c>
      <c r="AU443" s="17">
        <f t="shared" si="22"/>
        <v>0</v>
      </c>
      <c r="BW443" s="15">
        <f t="shared" si="23"/>
        <v>0</v>
      </c>
    </row>
    <row r="444" spans="1:158" ht="10.5" customHeight="1" x14ac:dyDescent="0.2">
      <c r="A444" s="18">
        <v>41</v>
      </c>
      <c r="B444" s="18" t="s">
        <v>4311</v>
      </c>
      <c r="C444" s="18" t="s">
        <v>4310</v>
      </c>
      <c r="D444" s="18">
        <v>5620</v>
      </c>
      <c r="E444" s="16" t="s">
        <v>6656</v>
      </c>
      <c r="F444" s="18" t="s">
        <v>4310</v>
      </c>
      <c r="G444" s="18" t="s">
        <v>106</v>
      </c>
      <c r="H444" s="15" t="s">
        <v>5127</v>
      </c>
      <c r="I444" s="18">
        <v>8</v>
      </c>
      <c r="J444" s="18">
        <v>8</v>
      </c>
      <c r="K444" s="18">
        <v>0</v>
      </c>
      <c r="L444" s="18">
        <v>0</v>
      </c>
      <c r="M444" s="18" t="s">
        <v>5121</v>
      </c>
      <c r="N444" s="18" t="s">
        <v>6504</v>
      </c>
      <c r="O444" s="18">
        <v>46839</v>
      </c>
      <c r="T444" s="18" t="s">
        <v>111</v>
      </c>
      <c r="U444" s="18" t="s">
        <v>5250</v>
      </c>
      <c r="V444" s="18" t="s">
        <v>113</v>
      </c>
      <c r="W444" s="18" t="s">
        <v>5211</v>
      </c>
      <c r="Y444" s="18" t="s">
        <v>5232</v>
      </c>
      <c r="Z444" s="18" t="s">
        <v>113</v>
      </c>
      <c r="AA444" s="18" t="s">
        <v>5163</v>
      </c>
      <c r="AB444" s="18" t="s">
        <v>179</v>
      </c>
      <c r="AC444" s="18" t="s">
        <v>111</v>
      </c>
      <c r="AD444" s="18" t="s">
        <v>5127</v>
      </c>
      <c r="AE444" s="18" t="s">
        <v>111</v>
      </c>
      <c r="AF444" s="18" t="s">
        <v>5127</v>
      </c>
      <c r="AG444" s="18" t="s">
        <v>5127</v>
      </c>
      <c r="AH444" s="18" t="s">
        <v>5127</v>
      </c>
      <c r="AI444" s="18">
        <v>2</v>
      </c>
      <c r="AK444" s="18" t="s">
        <v>5164</v>
      </c>
      <c r="AN444" s="18">
        <v>0</v>
      </c>
      <c r="AO444" s="18" t="s">
        <v>5186</v>
      </c>
      <c r="AP444" s="18" t="s">
        <v>6505</v>
      </c>
      <c r="AQ444" s="18" t="s">
        <v>5269</v>
      </c>
      <c r="AR444" s="18" t="s">
        <v>5132</v>
      </c>
      <c r="AT444" s="17">
        <f>(365*D444*0.7)/1000</f>
        <v>1435.91</v>
      </c>
      <c r="AU444" s="17">
        <f t="shared" si="22"/>
        <v>0</v>
      </c>
      <c r="AV444" s="18">
        <v>0</v>
      </c>
      <c r="AW444" s="18">
        <v>0</v>
      </c>
      <c r="AY444" s="18" t="s">
        <v>164</v>
      </c>
      <c r="AZ444" s="18">
        <v>0</v>
      </c>
      <c r="BA444" s="18">
        <v>0</v>
      </c>
      <c r="BB444" s="18">
        <v>0</v>
      </c>
      <c r="BD444" s="18">
        <v>0</v>
      </c>
      <c r="BE444" s="18">
        <v>0</v>
      </c>
      <c r="BG444" s="18" t="s">
        <v>6506</v>
      </c>
      <c r="BH444" s="18">
        <v>0</v>
      </c>
      <c r="BJ444" s="18">
        <v>0</v>
      </c>
      <c r="BQ444" s="18">
        <v>0</v>
      </c>
      <c r="BR444" s="18">
        <v>0</v>
      </c>
      <c r="BS444" s="18">
        <v>0</v>
      </c>
      <c r="BT444" s="18">
        <v>0</v>
      </c>
      <c r="BU444" s="18">
        <v>0</v>
      </c>
      <c r="BV444" s="18">
        <v>0</v>
      </c>
      <c r="BW444" s="15">
        <f t="shared" si="23"/>
        <v>0</v>
      </c>
      <c r="BY444" s="18" t="s">
        <v>5322</v>
      </c>
      <c r="BZ444" s="18" t="s">
        <v>193</v>
      </c>
      <c r="CD444" s="18" t="s">
        <v>5127</v>
      </c>
      <c r="CE444" s="18" t="s">
        <v>5127</v>
      </c>
      <c r="CF444" s="18" t="s">
        <v>5135</v>
      </c>
      <c r="CG444" s="18" t="s">
        <v>5920</v>
      </c>
      <c r="CH444" s="18" t="s">
        <v>5194</v>
      </c>
      <c r="CI444" s="18" t="s">
        <v>111</v>
      </c>
      <c r="CJ444" s="18" t="s">
        <v>5196</v>
      </c>
      <c r="CK444" s="18" t="s">
        <v>179</v>
      </c>
      <c r="CL444" s="18">
        <v>2</v>
      </c>
      <c r="CM444" s="18">
        <v>1</v>
      </c>
      <c r="CN444" s="18">
        <v>0</v>
      </c>
      <c r="CO444" s="18">
        <v>2</v>
      </c>
      <c r="CP444" s="18">
        <v>2</v>
      </c>
      <c r="CQ444" s="18">
        <v>2</v>
      </c>
      <c r="CR444" s="18">
        <v>0</v>
      </c>
      <c r="CS444" s="18">
        <v>1</v>
      </c>
      <c r="CT444" s="18">
        <v>1</v>
      </c>
      <c r="CU444" s="18">
        <v>0</v>
      </c>
      <c r="CV444" s="18" t="s">
        <v>5141</v>
      </c>
      <c r="CX444" s="18">
        <v>0</v>
      </c>
      <c r="CY444" s="18">
        <v>0</v>
      </c>
      <c r="CZ444" s="18">
        <v>0</v>
      </c>
      <c r="DA444" s="18">
        <v>1</v>
      </c>
      <c r="DB444" s="18">
        <v>0</v>
      </c>
      <c r="DC444" s="18">
        <v>0</v>
      </c>
      <c r="DD444" s="18">
        <v>0</v>
      </c>
      <c r="DE444" s="18">
        <v>2</v>
      </c>
      <c r="DF444" s="18">
        <v>1</v>
      </c>
      <c r="DG444" s="18">
        <v>0</v>
      </c>
      <c r="DH444" s="18">
        <v>2</v>
      </c>
      <c r="DI444" s="18">
        <v>1</v>
      </c>
      <c r="DK444" s="18">
        <v>0</v>
      </c>
      <c r="DL444" s="18">
        <v>0</v>
      </c>
      <c r="DM444" s="18" t="s">
        <v>5127</v>
      </c>
      <c r="DN444" s="18" t="s">
        <v>5172</v>
      </c>
      <c r="DO444" s="18" t="s">
        <v>5199</v>
      </c>
      <c r="DP444" s="18" t="s">
        <v>106</v>
      </c>
      <c r="DQ444" s="18" t="s">
        <v>179</v>
      </c>
      <c r="DS444" s="18">
        <v>0</v>
      </c>
      <c r="DT444" s="18">
        <v>0</v>
      </c>
      <c r="DU444" s="18">
        <v>1</v>
      </c>
      <c r="DV444" s="18" t="s">
        <v>5958</v>
      </c>
      <c r="DX444" s="18" t="s">
        <v>5222</v>
      </c>
      <c r="DY444" s="18" t="s">
        <v>106</v>
      </c>
      <c r="DZ444" s="18" t="s">
        <v>113</v>
      </c>
      <c r="EA444" s="18" t="s">
        <v>5302</v>
      </c>
      <c r="EB444" s="18">
        <v>0</v>
      </c>
      <c r="EC444" s="18" t="s">
        <v>113</v>
      </c>
      <c r="ED444" s="18" t="s">
        <v>5147</v>
      </c>
      <c r="EE444" s="18" t="s">
        <v>113</v>
      </c>
      <c r="EF444" s="18" t="s">
        <v>113</v>
      </c>
      <c r="EG444" s="18" t="s">
        <v>5148</v>
      </c>
      <c r="EH444" s="18" t="s">
        <v>5203</v>
      </c>
      <c r="EI444" s="18" t="s">
        <v>5150</v>
      </c>
      <c r="EJ444" s="18" t="s">
        <v>5422</v>
      </c>
      <c r="EK444" s="18" t="s">
        <v>113</v>
      </c>
      <c r="EL444" s="18" t="s">
        <v>1548</v>
      </c>
      <c r="EM444" s="18" t="s">
        <v>6507</v>
      </c>
      <c r="EN444" s="18" t="s">
        <v>113</v>
      </c>
      <c r="EO444" s="18" t="s">
        <v>113</v>
      </c>
      <c r="EP444" s="18" t="s">
        <v>113</v>
      </c>
      <c r="EQ444" s="18" t="s">
        <v>113</v>
      </c>
      <c r="ER444" s="18" t="s">
        <v>5152</v>
      </c>
      <c r="ES444" s="18" t="s">
        <v>5153</v>
      </c>
      <c r="ET444" s="18" t="s">
        <v>5154</v>
      </c>
      <c r="EU444" s="18" t="s">
        <v>5318</v>
      </c>
      <c r="EV444" s="18" t="s">
        <v>6508</v>
      </c>
      <c r="EW444" s="18" t="s">
        <v>6477</v>
      </c>
      <c r="EX444" s="18" t="s">
        <v>5158</v>
      </c>
      <c r="EY444" s="18" t="s">
        <v>5597</v>
      </c>
      <c r="EZ444" s="18" t="s">
        <v>5160</v>
      </c>
      <c r="FA444" s="18" t="s">
        <v>144</v>
      </c>
      <c r="FB444" s="18" t="s">
        <v>5161</v>
      </c>
    </row>
    <row r="445" spans="1:158" ht="10.5" customHeight="1" x14ac:dyDescent="0.2">
      <c r="A445" s="18">
        <v>41</v>
      </c>
      <c r="B445" s="18" t="s">
        <v>4329</v>
      </c>
      <c r="C445" s="18" t="s">
        <v>4328</v>
      </c>
      <c r="D445" s="18">
        <v>10700</v>
      </c>
      <c r="E445" s="16" t="s">
        <v>6656</v>
      </c>
      <c r="F445" s="18" t="s">
        <v>4328</v>
      </c>
      <c r="G445" s="18" t="s">
        <v>106</v>
      </c>
      <c r="H445" s="15" t="s">
        <v>5127</v>
      </c>
      <c r="I445" s="18">
        <v>8</v>
      </c>
      <c r="J445" s="18">
        <v>4</v>
      </c>
      <c r="K445" s="18">
        <v>4</v>
      </c>
      <c r="L445" s="18">
        <v>0</v>
      </c>
      <c r="M445" s="18" t="s">
        <v>5121</v>
      </c>
      <c r="N445" s="18" t="s">
        <v>6509</v>
      </c>
      <c r="O445" s="18">
        <v>45950</v>
      </c>
      <c r="T445" s="18" t="s">
        <v>111</v>
      </c>
      <c r="U445" s="18" t="s">
        <v>5250</v>
      </c>
      <c r="V445" s="18" t="s">
        <v>106</v>
      </c>
      <c r="W445" s="18" t="s">
        <v>5211</v>
      </c>
      <c r="Y445" s="18" t="s">
        <v>5656</v>
      </c>
      <c r="Z445" s="18" t="s">
        <v>113</v>
      </c>
      <c r="AA445" s="18" t="s">
        <v>5163</v>
      </c>
      <c r="AB445" s="18" t="s">
        <v>179</v>
      </c>
      <c r="AC445" s="18" t="s">
        <v>5127</v>
      </c>
      <c r="AD445" s="18" t="s">
        <v>111</v>
      </c>
      <c r="AE445" s="18" t="s">
        <v>111</v>
      </c>
      <c r="AF445" s="18" t="s">
        <v>111</v>
      </c>
      <c r="AG445" s="18" t="s">
        <v>5127</v>
      </c>
      <c r="AH445" s="18" t="s">
        <v>111</v>
      </c>
      <c r="AI445" s="18">
        <v>0</v>
      </c>
      <c r="AK445" s="18" t="s">
        <v>5164</v>
      </c>
      <c r="AN445" s="18" t="s">
        <v>220</v>
      </c>
      <c r="AO445" s="18" t="s">
        <v>5294</v>
      </c>
      <c r="AP445" s="18" t="s">
        <v>6510</v>
      </c>
      <c r="AQ445" s="18" t="s">
        <v>6511</v>
      </c>
      <c r="AR445" s="18" t="s">
        <v>5168</v>
      </c>
      <c r="AT445" s="17">
        <f>(365*D445*0.7)/1000</f>
        <v>2733.85</v>
      </c>
      <c r="AU445" s="17">
        <f t="shared" si="22"/>
        <v>17</v>
      </c>
      <c r="AV445" s="18">
        <v>17</v>
      </c>
      <c r="AW445" s="18" t="s">
        <v>220</v>
      </c>
      <c r="AY445" s="18" t="s">
        <v>164</v>
      </c>
      <c r="AZ445" s="18">
        <v>0</v>
      </c>
      <c r="BA445" s="18">
        <v>0</v>
      </c>
      <c r="BB445" s="18">
        <v>0</v>
      </c>
      <c r="BC445" s="18">
        <v>0</v>
      </c>
      <c r="BD445" s="18">
        <v>0</v>
      </c>
      <c r="BE445" s="18">
        <v>0</v>
      </c>
      <c r="BG445" s="18" t="s">
        <v>5400</v>
      </c>
      <c r="BH445" s="18" t="s">
        <v>220</v>
      </c>
      <c r="BI445" s="18">
        <v>0</v>
      </c>
      <c r="BJ445" s="18">
        <f>400/1000</f>
        <v>0.4</v>
      </c>
      <c r="BQ445" s="18">
        <f>4000/1000</f>
        <v>4</v>
      </c>
      <c r="BR445" s="18">
        <f>1000/1000</f>
        <v>1</v>
      </c>
      <c r="BS445" s="18">
        <f>40000/1000</f>
        <v>40</v>
      </c>
      <c r="BT445" s="18">
        <v>0</v>
      </c>
      <c r="BU445" s="18">
        <v>0</v>
      </c>
      <c r="BV445" s="18">
        <f>SUM(BQ445:BU445)</f>
        <v>45</v>
      </c>
      <c r="BW445" s="15">
        <f t="shared" si="23"/>
        <v>45</v>
      </c>
      <c r="BY445" s="18" t="s">
        <v>5134</v>
      </c>
      <c r="BZ445" s="18" t="s">
        <v>5240</v>
      </c>
      <c r="CD445" s="18" t="s">
        <v>5127</v>
      </c>
      <c r="CE445" s="18" t="s">
        <v>5127</v>
      </c>
      <c r="CF445" s="18" t="s">
        <v>5135</v>
      </c>
      <c r="CG445" s="18" t="s">
        <v>6512</v>
      </c>
      <c r="CH445" s="18" t="s">
        <v>5137</v>
      </c>
      <c r="CI445" s="18" t="s">
        <v>5138</v>
      </c>
      <c r="CJ445" s="18" t="s">
        <v>5139</v>
      </c>
      <c r="CK445" s="18" t="s">
        <v>179</v>
      </c>
      <c r="CL445" s="18">
        <v>1</v>
      </c>
      <c r="CM445" s="18">
        <v>0</v>
      </c>
      <c r="CN445" s="18">
        <v>0</v>
      </c>
      <c r="CO445" s="18">
        <v>0</v>
      </c>
      <c r="CP445" s="18">
        <v>2</v>
      </c>
      <c r="CQ445" s="18">
        <v>0</v>
      </c>
      <c r="CR445" s="18" t="s">
        <v>5358</v>
      </c>
      <c r="CS445" s="18" t="s">
        <v>5141</v>
      </c>
      <c r="CT445" s="18">
        <v>0</v>
      </c>
      <c r="CU445" s="18">
        <v>0</v>
      </c>
      <c r="CV445" s="18">
        <v>0</v>
      </c>
      <c r="CX445" s="18">
        <v>1</v>
      </c>
      <c r="CY445" s="18">
        <v>2</v>
      </c>
      <c r="CZ445" s="18">
        <v>0</v>
      </c>
      <c r="DA445" s="18">
        <v>1</v>
      </c>
      <c r="DB445" s="18">
        <v>0</v>
      </c>
      <c r="DC445" s="18">
        <v>0</v>
      </c>
      <c r="DD445" s="18">
        <v>1</v>
      </c>
      <c r="DE445" s="18">
        <v>3</v>
      </c>
      <c r="DF445" s="18">
        <v>0</v>
      </c>
      <c r="DG445" s="18">
        <v>0</v>
      </c>
      <c r="DH445" s="18">
        <v>2</v>
      </c>
      <c r="DI445" s="18">
        <v>1</v>
      </c>
      <c r="DK445" s="18">
        <v>0</v>
      </c>
      <c r="DL445" s="18">
        <v>1</v>
      </c>
      <c r="DM445" s="18" t="s">
        <v>5127</v>
      </c>
      <c r="DN445" s="18" t="s">
        <v>5258</v>
      </c>
      <c r="DO445" s="18" t="s">
        <v>5259</v>
      </c>
      <c r="DP445" s="18" t="s">
        <v>106</v>
      </c>
      <c r="DQ445" s="18" t="s">
        <v>5168</v>
      </c>
      <c r="DS445" s="18">
        <v>2</v>
      </c>
      <c r="DT445" s="18">
        <v>0</v>
      </c>
      <c r="DU445" s="18">
        <v>1</v>
      </c>
      <c r="DV445" s="18" t="s">
        <v>5174</v>
      </c>
      <c r="DX445" s="18" t="s">
        <v>5222</v>
      </c>
      <c r="DY445" s="18" t="s">
        <v>106</v>
      </c>
      <c r="DZ445" s="18" t="s">
        <v>113</v>
      </c>
      <c r="EA445" s="18" t="s">
        <v>5325</v>
      </c>
      <c r="EB445" s="18">
        <v>72</v>
      </c>
      <c r="EC445" s="18" t="s">
        <v>106</v>
      </c>
      <c r="ED445" s="18" t="s">
        <v>5147</v>
      </c>
      <c r="EE445" s="18" t="s">
        <v>106</v>
      </c>
      <c r="EF445" s="18" t="s">
        <v>113</v>
      </c>
      <c r="EG445" s="18" t="s">
        <v>5404</v>
      </c>
      <c r="EH445" s="18" t="s">
        <v>5203</v>
      </c>
      <c r="EI445" s="18" t="s">
        <v>5204</v>
      </c>
      <c r="EJ445" s="18" t="s">
        <v>5412</v>
      </c>
      <c r="EK445" s="18" t="s">
        <v>113</v>
      </c>
      <c r="EL445" s="18" t="s">
        <v>127</v>
      </c>
      <c r="EM445" s="18" t="s">
        <v>127</v>
      </c>
      <c r="EN445" s="18" t="s">
        <v>113</v>
      </c>
      <c r="EO445" s="18" t="s">
        <v>113</v>
      </c>
      <c r="EP445" s="18" t="s">
        <v>113</v>
      </c>
      <c r="EQ445" s="18" t="s">
        <v>113</v>
      </c>
      <c r="ER445" s="18" t="s">
        <v>5152</v>
      </c>
      <c r="ES445" s="18" t="s">
        <v>5153</v>
      </c>
      <c r="ET445" s="18" t="s">
        <v>5154</v>
      </c>
      <c r="EU445" s="18" t="s">
        <v>5318</v>
      </c>
      <c r="EV445" s="18" t="s">
        <v>6513</v>
      </c>
      <c r="EW445" s="18" t="s">
        <v>6514</v>
      </c>
      <c r="EX445" s="18" t="s">
        <v>5265</v>
      </c>
      <c r="EY445" s="18" t="s">
        <v>5522</v>
      </c>
      <c r="EZ445" s="18" t="s">
        <v>6489</v>
      </c>
      <c r="FA445" s="18" t="s">
        <v>144</v>
      </c>
    </row>
    <row r="446" spans="1:158" ht="10.5" customHeight="1" x14ac:dyDescent="0.2">
      <c r="A446" s="18">
        <v>41</v>
      </c>
      <c r="B446" s="18" t="s">
        <v>4344</v>
      </c>
      <c r="C446" s="18" t="s">
        <v>4343</v>
      </c>
      <c r="D446" s="18">
        <v>13923</v>
      </c>
      <c r="E446" s="16" t="s">
        <v>6656</v>
      </c>
      <c r="F446" s="18" t="s">
        <v>4343</v>
      </c>
      <c r="G446" s="18" t="s">
        <v>106</v>
      </c>
      <c r="H446" s="15" t="s">
        <v>5127</v>
      </c>
      <c r="I446" s="18">
        <v>12</v>
      </c>
      <c r="J446" s="18">
        <v>6</v>
      </c>
      <c r="K446" s="18">
        <v>6</v>
      </c>
      <c r="L446" s="18">
        <v>0</v>
      </c>
      <c r="M446" s="18" t="s">
        <v>5183</v>
      </c>
      <c r="N446" s="18" t="s">
        <v>6515</v>
      </c>
      <c r="O446" s="18">
        <v>47623</v>
      </c>
      <c r="T446" s="18" t="s">
        <v>111</v>
      </c>
      <c r="U446" s="18" t="s">
        <v>5250</v>
      </c>
      <c r="V446" s="18" t="s">
        <v>106</v>
      </c>
      <c r="W446" s="18" t="s">
        <v>5211</v>
      </c>
      <c r="Y446" s="18" t="s">
        <v>5162</v>
      </c>
      <c r="Z446" s="18" t="s">
        <v>106</v>
      </c>
      <c r="AA446" s="18" t="s">
        <v>5163</v>
      </c>
      <c r="AB446" s="18" t="s">
        <v>179</v>
      </c>
      <c r="AC446" s="18" t="s">
        <v>5127</v>
      </c>
      <c r="AD446" s="18" t="s">
        <v>5127</v>
      </c>
      <c r="AE446" s="18" t="s">
        <v>5127</v>
      </c>
      <c r="AF446" s="18" t="s">
        <v>111</v>
      </c>
      <c r="AG446" s="18" t="s">
        <v>5127</v>
      </c>
      <c r="AH446" s="18" t="s">
        <v>111</v>
      </c>
      <c r="AI446" s="18">
        <v>1</v>
      </c>
      <c r="AK446" s="18" t="s">
        <v>5164</v>
      </c>
      <c r="AN446" s="18">
        <v>0</v>
      </c>
      <c r="AO446" s="18" t="s">
        <v>5186</v>
      </c>
      <c r="AP446" s="18" t="s">
        <v>6516</v>
      </c>
      <c r="AQ446" s="18" t="s">
        <v>5711</v>
      </c>
      <c r="AR446" s="18" t="s">
        <v>5168</v>
      </c>
      <c r="AT446" s="17">
        <f>(365*D446*0.7)/1000</f>
        <v>3557.3265000000001</v>
      </c>
      <c r="AU446" s="17">
        <f t="shared" si="22"/>
        <v>0</v>
      </c>
      <c r="AV446" s="18">
        <v>0</v>
      </c>
      <c r="AW446" s="18">
        <v>0</v>
      </c>
      <c r="AY446" s="18" t="s">
        <v>5334</v>
      </c>
      <c r="BG446" s="18" t="s">
        <v>5169</v>
      </c>
      <c r="BQ446" s="18">
        <v>0</v>
      </c>
      <c r="BR446" s="18">
        <v>0</v>
      </c>
      <c r="BS446" s="18">
        <v>0</v>
      </c>
      <c r="BT446" s="18">
        <v>0</v>
      </c>
      <c r="BU446" s="18">
        <v>0</v>
      </c>
      <c r="BV446" s="18">
        <v>0</v>
      </c>
      <c r="BW446" s="15">
        <f t="shared" si="23"/>
        <v>0</v>
      </c>
      <c r="BY446" s="18" t="s">
        <v>5134</v>
      </c>
      <c r="BZ446" s="18" t="s">
        <v>193</v>
      </c>
      <c r="CD446" s="18" t="s">
        <v>5127</v>
      </c>
      <c r="CE446" s="18" t="s">
        <v>111</v>
      </c>
      <c r="CF446" s="18" t="s">
        <v>5135</v>
      </c>
      <c r="CG446" s="18" t="s">
        <v>5193</v>
      </c>
      <c r="CH446" s="18" t="s">
        <v>5241</v>
      </c>
      <c r="CI446" s="18" t="s">
        <v>5138</v>
      </c>
      <c r="CJ446" s="18" t="s">
        <v>5196</v>
      </c>
      <c r="CK446" s="18" t="s">
        <v>5197</v>
      </c>
      <c r="CL446" s="18">
        <v>0</v>
      </c>
      <c r="CM446" s="18">
        <v>0</v>
      </c>
      <c r="CN446" s="18">
        <v>0</v>
      </c>
      <c r="CO446" s="18">
        <v>1</v>
      </c>
      <c r="CP446" s="18">
        <v>2</v>
      </c>
      <c r="CQ446" s="18">
        <v>1</v>
      </c>
      <c r="CR446" s="18">
        <v>0</v>
      </c>
      <c r="CS446" s="18" t="s">
        <v>5141</v>
      </c>
      <c r="CT446" s="18">
        <v>1</v>
      </c>
      <c r="CU446" s="18">
        <v>0</v>
      </c>
      <c r="CV446" s="18">
        <v>0</v>
      </c>
      <c r="CX446" s="18">
        <v>0</v>
      </c>
      <c r="CY446" s="18">
        <v>1</v>
      </c>
      <c r="CZ446" s="18">
        <v>0</v>
      </c>
      <c r="DA446" s="18">
        <v>0</v>
      </c>
      <c r="DB446" s="18">
        <v>1</v>
      </c>
      <c r="DC446" s="18">
        <v>0</v>
      </c>
      <c r="DD446" s="18">
        <v>0</v>
      </c>
      <c r="DE446" s="18">
        <v>0</v>
      </c>
      <c r="DF446" s="18" t="s">
        <v>5141</v>
      </c>
      <c r="DG446" s="18">
        <v>0</v>
      </c>
      <c r="DH446" s="18">
        <v>0</v>
      </c>
      <c r="DI446" s="18" t="s">
        <v>5141</v>
      </c>
      <c r="DK446" s="18">
        <v>0</v>
      </c>
      <c r="DL446" s="18">
        <v>0</v>
      </c>
      <c r="DM446" s="18" t="s">
        <v>5127</v>
      </c>
      <c r="DN446" s="18" t="s">
        <v>5172</v>
      </c>
      <c r="DO446" s="18" t="s">
        <v>5585</v>
      </c>
      <c r="DP446" s="18" t="s">
        <v>113</v>
      </c>
      <c r="DQ446" s="18" t="s">
        <v>179</v>
      </c>
      <c r="DS446" s="18">
        <v>0</v>
      </c>
      <c r="DT446" s="18">
        <v>0</v>
      </c>
      <c r="DU446" s="18">
        <v>1</v>
      </c>
      <c r="DV446" s="18" t="s">
        <v>5342</v>
      </c>
      <c r="DX446" s="18" t="s">
        <v>5201</v>
      </c>
      <c r="DY446" s="18" t="s">
        <v>106</v>
      </c>
      <c r="DZ446" s="18" t="s">
        <v>113</v>
      </c>
      <c r="EA446" s="18" t="s">
        <v>5285</v>
      </c>
      <c r="EB446" s="18">
        <v>0</v>
      </c>
      <c r="EC446" s="18" t="s">
        <v>106</v>
      </c>
      <c r="ED446" s="18" t="s">
        <v>5176</v>
      </c>
      <c r="EE446" s="18" t="s">
        <v>106</v>
      </c>
      <c r="EF446" s="18" t="s">
        <v>106</v>
      </c>
      <c r="EG446" s="18" t="s">
        <v>5148</v>
      </c>
      <c r="EH446" s="18" t="s">
        <v>5203</v>
      </c>
      <c r="EI446" s="18" t="s">
        <v>5204</v>
      </c>
      <c r="EJ446" s="18" t="s">
        <v>5287</v>
      </c>
      <c r="EN446" s="18" t="s">
        <v>106</v>
      </c>
      <c r="EO446" s="18" t="s">
        <v>113</v>
      </c>
      <c r="EP446" s="18" t="s">
        <v>113</v>
      </c>
      <c r="EQ446" s="18" t="s">
        <v>113</v>
      </c>
      <c r="ER446" s="18" t="s">
        <v>5206</v>
      </c>
      <c r="ES446" s="18" t="s">
        <v>5153</v>
      </c>
      <c r="ET446" s="18" t="s">
        <v>5154</v>
      </c>
      <c r="EU446" s="18" t="s">
        <v>5318</v>
      </c>
      <c r="EV446" s="18" t="s">
        <v>5276</v>
      </c>
      <c r="EW446" s="18" t="s">
        <v>5380</v>
      </c>
      <c r="EX446" s="18" t="s">
        <v>5158</v>
      </c>
      <c r="EY446" s="18" t="s">
        <v>5229</v>
      </c>
      <c r="EZ446" s="18" t="s">
        <v>5308</v>
      </c>
      <c r="FA446" s="18" t="s">
        <v>144</v>
      </c>
      <c r="FB446" s="18" t="s">
        <v>5161</v>
      </c>
    </row>
    <row r="447" spans="1:158" ht="10.5" customHeight="1" x14ac:dyDescent="0.2">
      <c r="A447" s="18">
        <v>41</v>
      </c>
      <c r="B447" s="18" t="s">
        <v>4353</v>
      </c>
      <c r="C447" s="18" t="s">
        <v>4352</v>
      </c>
      <c r="D447" s="18">
        <v>5193</v>
      </c>
      <c r="E447" s="16" t="s">
        <v>6656</v>
      </c>
      <c r="F447" s="18" t="s">
        <v>4352</v>
      </c>
      <c r="G447" s="18" t="s">
        <v>113</v>
      </c>
      <c r="H447" s="15" t="s">
        <v>111</v>
      </c>
      <c r="AT447" s="17">
        <f>(365*D447*0.7)/1000</f>
        <v>1326.8115</v>
      </c>
      <c r="AU447" s="17">
        <f t="shared" si="22"/>
        <v>0</v>
      </c>
      <c r="BW447" s="15">
        <f t="shared" si="23"/>
        <v>0</v>
      </c>
    </row>
    <row r="448" spans="1:158" ht="10.5" customHeight="1" x14ac:dyDescent="0.2">
      <c r="A448" s="18">
        <v>41</v>
      </c>
      <c r="B448" s="18" t="s">
        <v>4369</v>
      </c>
      <c r="C448" s="18" t="s">
        <v>4368</v>
      </c>
      <c r="D448" s="18">
        <v>6659</v>
      </c>
      <c r="E448" s="16" t="s">
        <v>6656</v>
      </c>
      <c r="H448" s="15" t="s">
        <v>6661</v>
      </c>
      <c r="AT448" s="17">
        <f>(365*D448*0.7)/1000</f>
        <v>1701.3744999999999</v>
      </c>
      <c r="AU448" s="17">
        <f t="shared" si="22"/>
        <v>0</v>
      </c>
      <c r="BW448" s="15">
        <f t="shared" si="23"/>
        <v>0</v>
      </c>
    </row>
    <row r="449" spans="1:158" ht="10.5" customHeight="1" x14ac:dyDescent="0.2">
      <c r="A449" s="18">
        <v>41</v>
      </c>
      <c r="B449" s="18" t="s">
        <v>4383</v>
      </c>
      <c r="C449" s="18" t="s">
        <v>4382</v>
      </c>
      <c r="D449" s="18">
        <v>9550</v>
      </c>
      <c r="E449" s="16" t="s">
        <v>6656</v>
      </c>
      <c r="F449" s="18" t="s">
        <v>4382</v>
      </c>
      <c r="G449" s="18" t="s">
        <v>106</v>
      </c>
      <c r="H449" s="15" t="s">
        <v>5127</v>
      </c>
      <c r="I449" s="18">
        <v>0</v>
      </c>
      <c r="J449" s="18">
        <v>0</v>
      </c>
      <c r="K449" s="18">
        <v>0</v>
      </c>
      <c r="M449" s="18" t="s">
        <v>5121</v>
      </c>
      <c r="N449" s="18" t="s">
        <v>4905</v>
      </c>
      <c r="T449" s="18" t="s">
        <v>111</v>
      </c>
      <c r="U449" s="18" t="s">
        <v>5250</v>
      </c>
      <c r="V449" s="18" t="s">
        <v>106</v>
      </c>
      <c r="W449" s="18" t="s">
        <v>5211</v>
      </c>
      <c r="Y449" s="18" t="s">
        <v>5309</v>
      </c>
      <c r="Z449" s="18" t="s">
        <v>113</v>
      </c>
      <c r="AA449" s="18" t="s">
        <v>5163</v>
      </c>
      <c r="AC449" s="18" t="s">
        <v>111</v>
      </c>
      <c r="AD449" s="18" t="s">
        <v>111</v>
      </c>
      <c r="AE449" s="18" t="s">
        <v>111</v>
      </c>
      <c r="AF449" s="18" t="s">
        <v>111</v>
      </c>
      <c r="AG449" s="18" t="s">
        <v>5127</v>
      </c>
      <c r="AH449" s="18" t="s">
        <v>111</v>
      </c>
      <c r="AI449" s="18">
        <v>1</v>
      </c>
      <c r="AK449" s="18" t="s">
        <v>5164</v>
      </c>
      <c r="AN449" s="18" t="s">
        <v>220</v>
      </c>
      <c r="AO449" s="18" t="s">
        <v>5129</v>
      </c>
      <c r="AP449" s="18" t="s">
        <v>6517</v>
      </c>
      <c r="AQ449" s="18" t="s">
        <v>164</v>
      </c>
      <c r="AR449" s="18" t="s">
        <v>179</v>
      </c>
      <c r="AT449" s="17">
        <f>(365*D449*0.7)/1000</f>
        <v>2440.0250000000001</v>
      </c>
      <c r="AU449" s="17">
        <f t="shared" si="22"/>
        <v>0</v>
      </c>
      <c r="AV449" s="18" t="s">
        <v>220</v>
      </c>
      <c r="AW449" s="18" t="s">
        <v>220</v>
      </c>
      <c r="AY449" s="18" t="s">
        <v>5334</v>
      </c>
      <c r="BG449" s="18" t="s">
        <v>5169</v>
      </c>
      <c r="BQ449" s="18">
        <v>0</v>
      </c>
      <c r="BR449" s="18">
        <v>0</v>
      </c>
      <c r="BS449" s="18">
        <v>0</v>
      </c>
      <c r="BT449" s="18">
        <v>0</v>
      </c>
      <c r="BU449" s="18">
        <v>0</v>
      </c>
      <c r="BV449" s="18">
        <v>0</v>
      </c>
      <c r="BW449" s="15">
        <f t="shared" si="23"/>
        <v>0</v>
      </c>
      <c r="BY449" s="18" t="s">
        <v>6518</v>
      </c>
      <c r="BZ449" s="18" t="s">
        <v>5240</v>
      </c>
      <c r="CD449" s="18" t="s">
        <v>5127</v>
      </c>
      <c r="CE449" s="18" t="s">
        <v>111</v>
      </c>
      <c r="CF449" s="18" t="s">
        <v>5135</v>
      </c>
      <c r="CG449" s="18" t="s">
        <v>5724</v>
      </c>
      <c r="CH449" s="18" t="s">
        <v>5241</v>
      </c>
      <c r="CI449" s="18" t="s">
        <v>5138</v>
      </c>
      <c r="CJ449" s="18" t="s">
        <v>5196</v>
      </c>
      <c r="CK449" s="18" t="s">
        <v>179</v>
      </c>
      <c r="CL449" s="18">
        <v>1</v>
      </c>
      <c r="CM449" s="18">
        <v>0</v>
      </c>
      <c r="CN449" s="18">
        <v>0</v>
      </c>
      <c r="CO449" s="18">
        <v>1</v>
      </c>
      <c r="CP449" s="18">
        <v>1</v>
      </c>
      <c r="CQ449" s="18">
        <v>0</v>
      </c>
      <c r="CR449" s="18">
        <v>0</v>
      </c>
      <c r="CS449" s="18" t="s">
        <v>5141</v>
      </c>
      <c r="CT449" s="18">
        <v>0</v>
      </c>
      <c r="CU449" s="18">
        <v>0</v>
      </c>
      <c r="CV449" s="18">
        <v>0</v>
      </c>
      <c r="CX449" s="18">
        <v>0</v>
      </c>
      <c r="CY449" s="18">
        <v>0</v>
      </c>
      <c r="CZ449" s="18">
        <v>0</v>
      </c>
      <c r="DA449" s="18" t="s">
        <v>5358</v>
      </c>
      <c r="DB449" s="18">
        <v>0</v>
      </c>
      <c r="DC449" s="18">
        <v>1</v>
      </c>
      <c r="DD449" s="18">
        <v>1</v>
      </c>
      <c r="DE449" s="18">
        <v>0</v>
      </c>
      <c r="DF449" s="18">
        <v>0</v>
      </c>
      <c r="DG449" s="18">
        <v>0</v>
      </c>
      <c r="DH449" s="18">
        <v>1</v>
      </c>
      <c r="DI449" s="18">
        <v>1</v>
      </c>
      <c r="DK449" s="18">
        <v>0</v>
      </c>
      <c r="DL449" s="18">
        <v>0</v>
      </c>
      <c r="DM449" s="18" t="s">
        <v>5127</v>
      </c>
      <c r="DN449" s="18" t="s">
        <v>5314</v>
      </c>
      <c r="DO449" s="18" t="s">
        <v>5143</v>
      </c>
      <c r="DP449" s="18" t="s">
        <v>113</v>
      </c>
      <c r="DS449" s="18" t="s">
        <v>220</v>
      </c>
      <c r="DT449" s="18">
        <v>0</v>
      </c>
      <c r="DU449" s="18">
        <v>1</v>
      </c>
      <c r="DV449" s="18" t="s">
        <v>6519</v>
      </c>
      <c r="DX449" s="18" t="s">
        <v>5145</v>
      </c>
      <c r="DY449" s="18" t="s">
        <v>106</v>
      </c>
      <c r="DZ449" s="18" t="s">
        <v>106</v>
      </c>
      <c r="EA449" s="18" t="s">
        <v>5285</v>
      </c>
      <c r="EB449" s="18" t="s">
        <v>220</v>
      </c>
      <c r="EC449" s="18" t="s">
        <v>113</v>
      </c>
      <c r="ED449" s="18" t="s">
        <v>5147</v>
      </c>
      <c r="EH449" s="18" t="s">
        <v>5149</v>
      </c>
      <c r="EI449" s="18" t="s">
        <v>5204</v>
      </c>
      <c r="EN449" s="18" t="s">
        <v>113</v>
      </c>
      <c r="EX449" s="18" t="s">
        <v>5158</v>
      </c>
      <c r="EY449" s="18" t="s">
        <v>5553</v>
      </c>
    </row>
    <row r="450" spans="1:158" ht="10.5" customHeight="1" x14ac:dyDescent="0.2">
      <c r="A450" s="18">
        <v>41</v>
      </c>
      <c r="B450" s="18" t="s">
        <v>4405</v>
      </c>
      <c r="C450" s="18" t="s">
        <v>4404</v>
      </c>
      <c r="D450" s="18">
        <v>6060</v>
      </c>
      <c r="E450" s="16" t="s">
        <v>6656</v>
      </c>
      <c r="F450" s="18" t="s">
        <v>4404</v>
      </c>
      <c r="G450" s="18" t="s">
        <v>106</v>
      </c>
      <c r="H450" s="15" t="s">
        <v>5127</v>
      </c>
      <c r="I450" s="18" t="s">
        <v>2511</v>
      </c>
      <c r="J450" s="18">
        <v>1</v>
      </c>
      <c r="K450" s="18">
        <v>4</v>
      </c>
      <c r="L450" s="18">
        <v>0</v>
      </c>
      <c r="M450" s="18" t="s">
        <v>5121</v>
      </c>
      <c r="N450" s="18" t="s">
        <v>6520</v>
      </c>
      <c r="O450" s="18">
        <v>48118</v>
      </c>
      <c r="T450" s="18" t="s">
        <v>111</v>
      </c>
      <c r="U450" s="18" t="s">
        <v>5123</v>
      </c>
      <c r="V450" s="18" t="s">
        <v>106</v>
      </c>
      <c r="W450" s="18" t="s">
        <v>5211</v>
      </c>
      <c r="Y450" s="18" t="s">
        <v>5309</v>
      </c>
      <c r="Z450" s="18" t="s">
        <v>113</v>
      </c>
      <c r="AA450" s="18" t="s">
        <v>5163</v>
      </c>
      <c r="AB450" s="18" t="s">
        <v>179</v>
      </c>
      <c r="AC450" s="18" t="s">
        <v>111</v>
      </c>
      <c r="AD450" s="18" t="s">
        <v>111</v>
      </c>
      <c r="AE450" s="18" t="s">
        <v>111</v>
      </c>
      <c r="AF450" s="18" t="s">
        <v>111</v>
      </c>
      <c r="AG450" s="18" t="s">
        <v>111</v>
      </c>
      <c r="AH450" s="18" t="s">
        <v>111</v>
      </c>
      <c r="AI450" s="18">
        <v>0</v>
      </c>
      <c r="AK450" s="18" t="s">
        <v>5164</v>
      </c>
      <c r="AN450" s="18">
        <v>150</v>
      </c>
      <c r="AO450" s="18" t="s">
        <v>5129</v>
      </c>
      <c r="AP450" s="18" t="s">
        <v>6521</v>
      </c>
      <c r="AQ450" s="18" t="s">
        <v>5252</v>
      </c>
      <c r="AR450" s="18" t="s">
        <v>5168</v>
      </c>
      <c r="AT450" s="17">
        <f>(365*D450*0.7)/1000</f>
        <v>1548.33</v>
      </c>
      <c r="AU450" s="17">
        <f t="shared" si="22"/>
        <v>18</v>
      </c>
      <c r="AV450" s="18">
        <v>18</v>
      </c>
      <c r="AW450" s="18">
        <v>0</v>
      </c>
      <c r="AY450" s="18" t="s">
        <v>164</v>
      </c>
      <c r="AZ450" s="18">
        <v>0</v>
      </c>
      <c r="BA450" s="18">
        <v>0</v>
      </c>
      <c r="BB450" s="18">
        <v>0</v>
      </c>
      <c r="BD450" s="18">
        <v>0</v>
      </c>
      <c r="BE450" s="18">
        <v>0</v>
      </c>
      <c r="BG450" s="18" t="s">
        <v>5133</v>
      </c>
      <c r="BH450" s="18">
        <v>0</v>
      </c>
      <c r="BI450" s="18">
        <v>0</v>
      </c>
      <c r="BJ450" s="18">
        <v>0</v>
      </c>
      <c r="BQ450" s="18">
        <f>50167/1000</f>
        <v>50.167000000000002</v>
      </c>
      <c r="BR450" s="18">
        <f>4917/1000</f>
        <v>4.9169999999999998</v>
      </c>
      <c r="BS450" s="18">
        <v>1</v>
      </c>
      <c r="BT450" s="18">
        <f>38227/1000</f>
        <v>38.226999999999997</v>
      </c>
      <c r="BU450" s="18">
        <f>35997/1000</f>
        <v>35.997</v>
      </c>
      <c r="BV450" s="18">
        <f>130706/1000</f>
        <v>130.70599999999999</v>
      </c>
      <c r="BW450" s="15">
        <f t="shared" si="23"/>
        <v>130.30799999999999</v>
      </c>
      <c r="BY450" s="18" t="s">
        <v>5134</v>
      </c>
      <c r="BZ450" s="18" t="s">
        <v>6441</v>
      </c>
      <c r="CD450" s="18" t="s">
        <v>5127</v>
      </c>
      <c r="CE450" s="18" t="s">
        <v>111</v>
      </c>
      <c r="CF450" s="18" t="s">
        <v>5135</v>
      </c>
      <c r="CG450" s="18" t="s">
        <v>5219</v>
      </c>
      <c r="CH450" s="18" t="s">
        <v>5241</v>
      </c>
      <c r="CI450" s="18" t="s">
        <v>5138</v>
      </c>
      <c r="CJ450" s="18" t="s">
        <v>5196</v>
      </c>
      <c r="CK450" s="18" t="s">
        <v>5197</v>
      </c>
      <c r="CL450" s="18">
        <v>1</v>
      </c>
      <c r="CM450" s="18">
        <v>0</v>
      </c>
      <c r="CN450" s="18">
        <v>0</v>
      </c>
      <c r="CO450" s="18">
        <v>0</v>
      </c>
      <c r="CP450" s="18">
        <v>0</v>
      </c>
      <c r="CQ450" s="18">
        <v>0</v>
      </c>
      <c r="CR450" s="18">
        <v>0</v>
      </c>
      <c r="CS450" s="18" t="s">
        <v>5141</v>
      </c>
      <c r="CT450" s="18">
        <v>0</v>
      </c>
      <c r="CU450" s="18">
        <v>0</v>
      </c>
      <c r="CV450" s="18">
        <v>0</v>
      </c>
      <c r="CX450" s="18">
        <v>1</v>
      </c>
      <c r="CY450" s="18">
        <v>1</v>
      </c>
      <c r="CZ450" s="18">
        <v>1</v>
      </c>
      <c r="DA450" s="18">
        <v>1</v>
      </c>
      <c r="DB450" s="18">
        <v>1</v>
      </c>
      <c r="DC450" s="18">
        <v>0</v>
      </c>
      <c r="DD450" s="18">
        <v>1</v>
      </c>
      <c r="DE450" s="18">
        <v>1</v>
      </c>
      <c r="DF450" s="18" t="s">
        <v>5141</v>
      </c>
      <c r="DG450" s="18">
        <v>1</v>
      </c>
      <c r="DH450" s="18">
        <v>3</v>
      </c>
      <c r="DI450" s="18">
        <v>1</v>
      </c>
      <c r="DK450" s="18">
        <v>0</v>
      </c>
      <c r="DL450" s="18">
        <v>1</v>
      </c>
      <c r="DM450" s="18" t="s">
        <v>111</v>
      </c>
      <c r="DN450" s="18" t="s">
        <v>5314</v>
      </c>
      <c r="DO450" s="18" t="s">
        <v>5259</v>
      </c>
      <c r="DP450" s="18" t="s">
        <v>113</v>
      </c>
      <c r="DS450" s="18">
        <v>0</v>
      </c>
      <c r="DT450" s="18">
        <v>0</v>
      </c>
      <c r="DU450" s="18">
        <v>1</v>
      </c>
      <c r="DV450" s="18" t="s">
        <v>5144</v>
      </c>
      <c r="DX450" s="18" t="s">
        <v>5222</v>
      </c>
      <c r="DY450" s="18" t="s">
        <v>113</v>
      </c>
      <c r="DZ450" s="18" t="s">
        <v>113</v>
      </c>
      <c r="EA450" s="18" t="s">
        <v>5285</v>
      </c>
      <c r="EB450" s="18">
        <v>132</v>
      </c>
      <c r="EC450" s="18" t="s">
        <v>113</v>
      </c>
      <c r="ED450" s="18" t="s">
        <v>5147</v>
      </c>
      <c r="EE450" s="18" t="s">
        <v>113</v>
      </c>
      <c r="EF450" s="18" t="s">
        <v>113</v>
      </c>
      <c r="EG450" s="18" t="s">
        <v>5148</v>
      </c>
      <c r="EH450" s="18" t="s">
        <v>5203</v>
      </c>
      <c r="EI450" s="18" t="s">
        <v>5204</v>
      </c>
      <c r="EJ450" s="18" t="s">
        <v>5273</v>
      </c>
      <c r="EK450" s="18" t="s">
        <v>113</v>
      </c>
      <c r="EN450" s="18" t="s">
        <v>113</v>
      </c>
      <c r="EO450" s="18" t="s">
        <v>113</v>
      </c>
      <c r="EP450" s="18" t="s">
        <v>113</v>
      </c>
      <c r="EQ450" s="18" t="s">
        <v>113</v>
      </c>
      <c r="ER450" s="18" t="s">
        <v>5289</v>
      </c>
      <c r="ES450" s="18" t="s">
        <v>5317</v>
      </c>
      <c r="ET450" s="18" t="s">
        <v>5154</v>
      </c>
      <c r="EU450" s="18" t="s">
        <v>5155</v>
      </c>
      <c r="EV450" s="18" t="s">
        <v>179</v>
      </c>
      <c r="EW450" s="18" t="s">
        <v>179</v>
      </c>
      <c r="EX450" s="18" t="s">
        <v>5158</v>
      </c>
      <c r="EY450" s="18" t="s">
        <v>5229</v>
      </c>
      <c r="EZ450" s="18" t="s">
        <v>6522</v>
      </c>
      <c r="FA450" s="18" t="s">
        <v>144</v>
      </c>
      <c r="FB450" s="18" t="s">
        <v>5161</v>
      </c>
    </row>
    <row r="451" spans="1:158" ht="10.5" customHeight="1" x14ac:dyDescent="0.2">
      <c r="A451" s="18">
        <v>41</v>
      </c>
      <c r="B451" s="18" t="s">
        <v>4420</v>
      </c>
      <c r="C451" s="18" t="s">
        <v>4419</v>
      </c>
      <c r="D451" s="18">
        <v>4030</v>
      </c>
      <c r="E451" s="16" t="s">
        <v>6656</v>
      </c>
      <c r="F451" s="18" t="s">
        <v>4419</v>
      </c>
      <c r="G451" s="18" t="s">
        <v>106</v>
      </c>
      <c r="H451" s="15" t="s">
        <v>5127</v>
      </c>
      <c r="I451" s="18">
        <v>6</v>
      </c>
      <c r="J451" s="18">
        <v>2</v>
      </c>
      <c r="K451" s="18">
        <v>4</v>
      </c>
      <c r="L451" s="18">
        <v>0</v>
      </c>
      <c r="M451" s="18" t="s">
        <v>5230</v>
      </c>
      <c r="N451" s="18" t="s">
        <v>6523</v>
      </c>
      <c r="T451" s="18" t="s">
        <v>111</v>
      </c>
      <c r="U451" s="18" t="s">
        <v>5250</v>
      </c>
      <c r="V451" s="18" t="s">
        <v>106</v>
      </c>
      <c r="W451" s="18" t="s">
        <v>5124</v>
      </c>
      <c r="Y451" s="18" t="s">
        <v>5232</v>
      </c>
      <c r="Z451" s="18" t="s">
        <v>106</v>
      </c>
      <c r="AA451" s="18" t="s">
        <v>5163</v>
      </c>
      <c r="AB451" s="18" t="s">
        <v>179</v>
      </c>
      <c r="AC451" s="18" t="s">
        <v>5127</v>
      </c>
      <c r="AD451" s="18" t="s">
        <v>5127</v>
      </c>
      <c r="AE451" s="18" t="s">
        <v>5127</v>
      </c>
      <c r="AF451" s="18" t="s">
        <v>5127</v>
      </c>
      <c r="AG451" s="18" t="s">
        <v>5127</v>
      </c>
      <c r="AH451" s="18" t="s">
        <v>5127</v>
      </c>
      <c r="AI451" s="18">
        <v>1</v>
      </c>
      <c r="AK451" s="18" t="s">
        <v>5279</v>
      </c>
      <c r="AN451" s="18">
        <v>0</v>
      </c>
      <c r="AO451" s="18" t="s">
        <v>5186</v>
      </c>
      <c r="AP451" s="18" t="s">
        <v>6524</v>
      </c>
      <c r="AQ451" s="18" t="s">
        <v>164</v>
      </c>
      <c r="AR451" s="18" t="s">
        <v>5168</v>
      </c>
      <c r="AT451" s="17">
        <f>(365*D451*0.7)/1000</f>
        <v>1029.665</v>
      </c>
      <c r="AU451" s="17">
        <f t="shared" ref="AU451:AU502" si="25">SUM(AV451:AX451)</f>
        <v>148</v>
      </c>
      <c r="AV451" s="18">
        <v>148</v>
      </c>
      <c r="AW451" s="18">
        <v>0</v>
      </c>
      <c r="AY451" s="18" t="s">
        <v>164</v>
      </c>
      <c r="AZ451" s="18">
        <v>0</v>
      </c>
      <c r="BA451" s="18">
        <v>35</v>
      </c>
      <c r="BB451" s="18">
        <v>0</v>
      </c>
      <c r="BD451" s="18">
        <v>0</v>
      </c>
      <c r="BE451" s="18">
        <v>0</v>
      </c>
      <c r="BG451" s="18" t="s">
        <v>6525</v>
      </c>
      <c r="BH451" s="18">
        <v>0</v>
      </c>
      <c r="BI451" s="18">
        <v>0</v>
      </c>
      <c r="BJ451" s="18">
        <v>0</v>
      </c>
      <c r="BQ451" s="18">
        <v>0</v>
      </c>
      <c r="BR451" s="18">
        <v>0</v>
      </c>
      <c r="BS451" s="18">
        <v>0</v>
      </c>
      <c r="BT451" s="18">
        <v>0</v>
      </c>
      <c r="BU451" s="18">
        <v>0</v>
      </c>
      <c r="BV451" s="18">
        <v>0</v>
      </c>
      <c r="BW451" s="15">
        <f t="shared" si="23"/>
        <v>0</v>
      </c>
      <c r="BY451" s="18" t="s">
        <v>5134</v>
      </c>
      <c r="BZ451" s="18" t="s">
        <v>193</v>
      </c>
      <c r="CD451" s="18" t="s">
        <v>5127</v>
      </c>
      <c r="CE451" s="18" t="s">
        <v>111</v>
      </c>
      <c r="CF451" s="18" t="s">
        <v>5135</v>
      </c>
      <c r="CG451" s="18" t="s">
        <v>5193</v>
      </c>
      <c r="CH451" s="18" t="s">
        <v>5194</v>
      </c>
      <c r="CI451" s="18" t="s">
        <v>5138</v>
      </c>
      <c r="CJ451" s="18" t="s">
        <v>5196</v>
      </c>
      <c r="CK451" s="18" t="s">
        <v>5336</v>
      </c>
      <c r="CL451" s="18">
        <v>1</v>
      </c>
      <c r="CM451" s="18">
        <v>0</v>
      </c>
      <c r="CN451" s="18">
        <v>0</v>
      </c>
      <c r="CO451" s="18">
        <v>2</v>
      </c>
      <c r="CP451" s="18">
        <v>0</v>
      </c>
      <c r="CQ451" s="18">
        <v>1</v>
      </c>
      <c r="CR451" s="18">
        <v>0</v>
      </c>
      <c r="CS451" s="18" t="s">
        <v>5141</v>
      </c>
      <c r="CT451" s="18">
        <v>0</v>
      </c>
      <c r="CU451" s="18">
        <v>0</v>
      </c>
      <c r="CV451" s="18">
        <v>1</v>
      </c>
      <c r="CX451" s="18">
        <v>1</v>
      </c>
      <c r="CY451" s="18">
        <v>1</v>
      </c>
      <c r="CZ451" s="18">
        <v>0</v>
      </c>
      <c r="DA451" s="18">
        <v>1</v>
      </c>
      <c r="DB451" s="18">
        <v>2</v>
      </c>
      <c r="DC451" s="18">
        <v>1</v>
      </c>
      <c r="DD451" s="18">
        <v>1</v>
      </c>
      <c r="DE451" s="18">
        <v>0</v>
      </c>
      <c r="DF451" s="18" t="s">
        <v>5141</v>
      </c>
      <c r="DG451" s="18">
        <v>1</v>
      </c>
      <c r="DH451" s="18">
        <v>0</v>
      </c>
      <c r="DI451" s="18">
        <v>1</v>
      </c>
      <c r="DK451" s="18">
        <v>0</v>
      </c>
      <c r="DL451" s="18">
        <v>1</v>
      </c>
      <c r="DM451" s="18" t="s">
        <v>5127</v>
      </c>
      <c r="DN451" s="18" t="s">
        <v>5314</v>
      </c>
      <c r="DO451" s="18" t="s">
        <v>5315</v>
      </c>
      <c r="DP451" s="18" t="s">
        <v>106</v>
      </c>
      <c r="DQ451" s="18" t="s">
        <v>5132</v>
      </c>
      <c r="DS451" s="18">
        <v>0</v>
      </c>
      <c r="DT451" s="18">
        <v>1</v>
      </c>
      <c r="DU451" s="18">
        <v>1</v>
      </c>
      <c r="DV451" s="18" t="s">
        <v>5260</v>
      </c>
      <c r="DX451" s="18" t="s">
        <v>5222</v>
      </c>
      <c r="DY451" s="18" t="s">
        <v>106</v>
      </c>
      <c r="DZ451" s="18" t="s">
        <v>113</v>
      </c>
      <c r="EA451" s="18" t="s">
        <v>5285</v>
      </c>
      <c r="EB451" s="18">
        <v>0</v>
      </c>
      <c r="EC451" s="18" t="s">
        <v>106</v>
      </c>
      <c r="ED451" s="18" t="s">
        <v>5176</v>
      </c>
      <c r="EE451" s="18" t="s">
        <v>106</v>
      </c>
      <c r="EF451" s="18" t="s">
        <v>113</v>
      </c>
      <c r="EG451" s="18" t="s">
        <v>5148</v>
      </c>
      <c r="EH451" s="18" t="s">
        <v>5203</v>
      </c>
      <c r="EI451" s="18" t="s">
        <v>5204</v>
      </c>
      <c r="EJ451" s="18" t="s">
        <v>5245</v>
      </c>
      <c r="EK451" s="18" t="s">
        <v>113</v>
      </c>
      <c r="EL451" s="18" t="s">
        <v>6526</v>
      </c>
      <c r="EM451" s="18" t="s">
        <v>5514</v>
      </c>
      <c r="EN451" s="18" t="s">
        <v>113</v>
      </c>
      <c r="EO451" s="18" t="s">
        <v>113</v>
      </c>
      <c r="EP451" s="18" t="s">
        <v>113</v>
      </c>
      <c r="EQ451" s="18" t="s">
        <v>113</v>
      </c>
      <c r="ER451" s="18" t="s">
        <v>5155</v>
      </c>
      <c r="ES451" s="18" t="s">
        <v>5447</v>
      </c>
      <c r="ET451" s="18" t="s">
        <v>5154</v>
      </c>
      <c r="EU451" s="18" t="s">
        <v>5155</v>
      </c>
      <c r="EV451" s="18" t="s">
        <v>5482</v>
      </c>
      <c r="EW451" s="18" t="s">
        <v>5609</v>
      </c>
      <c r="EX451" s="18" t="s">
        <v>5158</v>
      </c>
      <c r="EY451" s="18" t="s">
        <v>5229</v>
      </c>
      <c r="FA451" s="18" t="s">
        <v>144</v>
      </c>
      <c r="FB451" s="18" t="s">
        <v>5161</v>
      </c>
    </row>
    <row r="452" spans="1:158" ht="10.5" customHeight="1" x14ac:dyDescent="0.2">
      <c r="A452" s="18">
        <v>41</v>
      </c>
      <c r="B452" s="18" t="s">
        <v>4441</v>
      </c>
      <c r="C452" s="18" t="s">
        <v>4440</v>
      </c>
      <c r="D452" s="18">
        <v>345644</v>
      </c>
      <c r="E452" s="16" t="s">
        <v>6659</v>
      </c>
      <c r="F452" s="18" t="s">
        <v>4440</v>
      </c>
      <c r="G452" s="18" t="s">
        <v>106</v>
      </c>
      <c r="H452" s="15" t="s">
        <v>5127</v>
      </c>
      <c r="I452" s="18">
        <v>18</v>
      </c>
      <c r="J452" s="18" t="s">
        <v>1657</v>
      </c>
      <c r="K452" s="18">
        <v>10</v>
      </c>
      <c r="L452" s="18">
        <v>0</v>
      </c>
      <c r="M452" s="18" t="s">
        <v>5771</v>
      </c>
      <c r="N452" s="18" t="s">
        <v>6527</v>
      </c>
      <c r="O452" s="18">
        <v>46111</v>
      </c>
      <c r="T452" s="18" t="s">
        <v>5501</v>
      </c>
      <c r="U452" s="18" t="s">
        <v>5185</v>
      </c>
      <c r="V452" s="18" t="s">
        <v>106</v>
      </c>
      <c r="W452" s="18" t="s">
        <v>5124</v>
      </c>
      <c r="Y452" s="18" t="s">
        <v>5555</v>
      </c>
      <c r="Z452" s="18" t="s">
        <v>106</v>
      </c>
      <c r="AA452" s="18" t="s">
        <v>5267</v>
      </c>
      <c r="AC452" s="18" t="s">
        <v>5127</v>
      </c>
      <c r="AD452" s="18" t="s">
        <v>5127</v>
      </c>
      <c r="AE452" s="18" t="s">
        <v>5127</v>
      </c>
      <c r="AF452" s="18" t="s">
        <v>111</v>
      </c>
      <c r="AG452" s="18" t="s">
        <v>5127</v>
      </c>
      <c r="AH452" s="18" t="s">
        <v>5127</v>
      </c>
      <c r="AI452" s="18">
        <v>1</v>
      </c>
      <c r="AK452" s="18" t="s">
        <v>5164</v>
      </c>
      <c r="AN452" s="18">
        <v>849</v>
      </c>
      <c r="AO452" s="18" t="s">
        <v>5165</v>
      </c>
      <c r="AP452" s="18" t="s">
        <v>6528</v>
      </c>
      <c r="AQ452" s="18" t="s">
        <v>5409</v>
      </c>
      <c r="AR452" s="18" t="s">
        <v>5168</v>
      </c>
      <c r="AT452" s="17">
        <f>(365*D452*0.7)/1000</f>
        <v>88312.042000000001</v>
      </c>
      <c r="AU452" s="17">
        <f t="shared" si="25"/>
        <v>333</v>
      </c>
      <c r="AV452" s="18">
        <v>130</v>
      </c>
      <c r="AW452" s="18">
        <v>203</v>
      </c>
      <c r="AY452" s="18" t="s">
        <v>5253</v>
      </c>
      <c r="AZ452" s="18">
        <v>0</v>
      </c>
      <c r="BA452" s="18">
        <v>0</v>
      </c>
      <c r="BB452" s="18">
        <v>0</v>
      </c>
      <c r="BD452" s="18">
        <v>0</v>
      </c>
      <c r="BE452" s="18">
        <v>0</v>
      </c>
      <c r="BG452" s="18" t="s">
        <v>5238</v>
      </c>
      <c r="BH452" s="18">
        <v>0</v>
      </c>
      <c r="BI452" s="18">
        <v>0</v>
      </c>
      <c r="BJ452" s="18">
        <v>0</v>
      </c>
      <c r="BQ452" s="18">
        <v>334</v>
      </c>
      <c r="BR452" s="18">
        <v>221</v>
      </c>
      <c r="BS452" s="18">
        <v>80</v>
      </c>
      <c r="BT452" s="18">
        <v>269</v>
      </c>
      <c r="BU452" s="18">
        <v>0</v>
      </c>
      <c r="BV452" s="18">
        <f>SUM(BQ452:BU452)</f>
        <v>904</v>
      </c>
      <c r="BW452" s="15">
        <f t="shared" ref="BW452:BW502" si="26">SUM(BQ452:BU452)</f>
        <v>904</v>
      </c>
      <c r="BY452" s="18" t="s">
        <v>6529</v>
      </c>
      <c r="BZ452" s="18" t="s">
        <v>5240</v>
      </c>
      <c r="CD452" s="18" t="s">
        <v>5127</v>
      </c>
      <c r="CE452" s="18" t="s">
        <v>111</v>
      </c>
      <c r="CF452" s="18" t="s">
        <v>5135</v>
      </c>
      <c r="CG452" s="18" t="s">
        <v>5193</v>
      </c>
      <c r="CH452" s="18" t="s">
        <v>5241</v>
      </c>
      <c r="CI452" s="18" t="s">
        <v>5138</v>
      </c>
      <c r="CJ452" s="18" t="s">
        <v>5196</v>
      </c>
      <c r="CK452" s="18" t="s">
        <v>5171</v>
      </c>
      <c r="CL452" s="18">
        <v>1</v>
      </c>
      <c r="CM452" s="18">
        <v>1</v>
      </c>
      <c r="CN452" s="18">
        <v>0</v>
      </c>
      <c r="CO452" s="18">
        <v>0</v>
      </c>
      <c r="CP452" s="18">
        <v>2</v>
      </c>
      <c r="CQ452" s="18">
        <v>0</v>
      </c>
      <c r="CR452" s="18" t="s">
        <v>5141</v>
      </c>
      <c r="CS452" s="18" t="s">
        <v>5141</v>
      </c>
      <c r="CT452" s="18">
        <v>1</v>
      </c>
      <c r="CU452" s="18">
        <v>1</v>
      </c>
      <c r="CV452" s="18">
        <v>0</v>
      </c>
      <c r="CX452" s="18">
        <v>0</v>
      </c>
      <c r="CY452" s="18">
        <v>0</v>
      </c>
      <c r="CZ452" s="18">
        <v>0</v>
      </c>
      <c r="DA452" s="18">
        <v>1</v>
      </c>
      <c r="DB452" s="18">
        <v>1</v>
      </c>
      <c r="DC452" s="18">
        <v>1</v>
      </c>
      <c r="DD452" s="18">
        <v>2</v>
      </c>
      <c r="DE452" s="18" t="s">
        <v>5141</v>
      </c>
      <c r="DF452" s="18" t="s">
        <v>5141</v>
      </c>
      <c r="DG452" s="18">
        <v>0</v>
      </c>
      <c r="DH452" s="18">
        <v>1</v>
      </c>
      <c r="DI452" s="18" t="s">
        <v>5141</v>
      </c>
      <c r="DK452" s="18">
        <v>0</v>
      </c>
      <c r="DL452" s="18">
        <v>1</v>
      </c>
      <c r="DM452" s="18" t="s">
        <v>5127</v>
      </c>
      <c r="DN452" s="18" t="s">
        <v>5258</v>
      </c>
      <c r="DO452" s="18" t="s">
        <v>5371</v>
      </c>
      <c r="DP452" s="18" t="s">
        <v>113</v>
      </c>
      <c r="DQ452" s="18" t="s">
        <v>5168</v>
      </c>
      <c r="DS452" s="18" t="s">
        <v>6530</v>
      </c>
      <c r="DT452" s="18">
        <v>0</v>
      </c>
      <c r="DU452" s="18">
        <v>2</v>
      </c>
      <c r="DV452" s="18" t="s">
        <v>5444</v>
      </c>
      <c r="DX452" s="18" t="s">
        <v>5201</v>
      </c>
      <c r="DY452" s="18" t="s">
        <v>106</v>
      </c>
      <c r="DZ452" s="18" t="s">
        <v>106</v>
      </c>
      <c r="EA452" s="18" t="s">
        <v>5261</v>
      </c>
      <c r="EB452" s="18">
        <v>749</v>
      </c>
      <c r="EC452" s="18" t="s">
        <v>106</v>
      </c>
      <c r="ED452" s="18" t="s">
        <v>5176</v>
      </c>
      <c r="EE452" s="18" t="s">
        <v>106</v>
      </c>
      <c r="EF452" s="18" t="s">
        <v>106</v>
      </c>
      <c r="EG452" s="18" t="s">
        <v>5326</v>
      </c>
      <c r="EH452" s="18" t="s">
        <v>5203</v>
      </c>
      <c r="EI452" s="18" t="s">
        <v>6531</v>
      </c>
      <c r="EJ452" s="18" t="s">
        <v>5287</v>
      </c>
      <c r="EK452" s="18" t="s">
        <v>113</v>
      </c>
      <c r="EL452" s="18" t="s">
        <v>6532</v>
      </c>
      <c r="EM452" s="18" t="s">
        <v>6533</v>
      </c>
      <c r="EN452" s="18" t="s">
        <v>113</v>
      </c>
      <c r="EO452" s="18" t="s">
        <v>113</v>
      </c>
      <c r="EP452" s="18" t="s">
        <v>113</v>
      </c>
      <c r="EQ452" s="18" t="s">
        <v>113</v>
      </c>
      <c r="ER452" s="18" t="s">
        <v>5206</v>
      </c>
      <c r="ES452" s="18" t="s">
        <v>5153</v>
      </c>
      <c r="ET452" s="18" t="s">
        <v>5154</v>
      </c>
      <c r="EU452" s="18" t="s">
        <v>5289</v>
      </c>
      <c r="EV452" s="18" t="s">
        <v>5608</v>
      </c>
      <c r="EW452" s="18" t="s">
        <v>5483</v>
      </c>
      <c r="EX452" s="18" t="s">
        <v>5158</v>
      </c>
      <c r="EY452" s="18" t="s">
        <v>6060</v>
      </c>
      <c r="EZ452" s="18" t="s">
        <v>5182</v>
      </c>
      <c r="FA452" s="18" t="s">
        <v>144</v>
      </c>
      <c r="FB452" s="18" t="s">
        <v>5161</v>
      </c>
    </row>
    <row r="453" spans="1:158" ht="10.5" customHeight="1" x14ac:dyDescent="0.2">
      <c r="A453" s="18">
        <v>41</v>
      </c>
      <c r="B453" s="18" t="s">
        <v>4441</v>
      </c>
      <c r="C453" s="18" t="s">
        <v>4440</v>
      </c>
      <c r="D453" s="18">
        <v>345644</v>
      </c>
      <c r="E453" s="16" t="s">
        <v>6659</v>
      </c>
      <c r="F453" s="18" t="s">
        <v>4440</v>
      </c>
      <c r="G453" s="18" t="s">
        <v>106</v>
      </c>
      <c r="H453" s="15" t="s">
        <v>5127</v>
      </c>
      <c r="I453" s="18">
        <v>14</v>
      </c>
      <c r="J453" s="18" t="s">
        <v>387</v>
      </c>
      <c r="K453" s="18" t="s">
        <v>1657</v>
      </c>
      <c r="L453" s="18" t="s">
        <v>220</v>
      </c>
      <c r="M453" s="18" t="s">
        <v>5230</v>
      </c>
      <c r="N453" s="18" t="s">
        <v>6534</v>
      </c>
      <c r="O453" s="18">
        <v>47577</v>
      </c>
      <c r="T453" s="18" t="s">
        <v>5501</v>
      </c>
      <c r="U453" s="18" t="s">
        <v>5185</v>
      </c>
      <c r="V453" s="18" t="s">
        <v>106</v>
      </c>
      <c r="W453" s="18" t="s">
        <v>5124</v>
      </c>
      <c r="Y453" s="18" t="s">
        <v>5162</v>
      </c>
      <c r="Z453" s="18" t="s">
        <v>106</v>
      </c>
      <c r="AA453" s="18" t="s">
        <v>5267</v>
      </c>
      <c r="AC453" s="18" t="s">
        <v>5127</v>
      </c>
      <c r="AD453" s="18" t="s">
        <v>5127</v>
      </c>
      <c r="AE453" s="18" t="s">
        <v>5127</v>
      </c>
      <c r="AF453" s="18" t="s">
        <v>111</v>
      </c>
      <c r="AG453" s="18" t="s">
        <v>5127</v>
      </c>
      <c r="AH453" s="18" t="s">
        <v>5127</v>
      </c>
      <c r="AI453" s="18">
        <v>1</v>
      </c>
      <c r="AK453" s="18" t="s">
        <v>5164</v>
      </c>
      <c r="AN453" s="18">
        <v>790</v>
      </c>
      <c r="AO453" s="18" t="s">
        <v>5165</v>
      </c>
      <c r="AP453" s="18" t="s">
        <v>6535</v>
      </c>
      <c r="AQ453" s="18" t="s">
        <v>5409</v>
      </c>
      <c r="AR453" s="18" t="s">
        <v>5168</v>
      </c>
      <c r="AT453" s="17">
        <f>(365*D453*0.7)/1000</f>
        <v>88312.042000000001</v>
      </c>
      <c r="AU453" s="17">
        <f t="shared" si="25"/>
        <v>184</v>
      </c>
      <c r="AV453" s="18">
        <v>22</v>
      </c>
      <c r="AW453" s="18">
        <v>162</v>
      </c>
      <c r="AY453" s="18" t="s">
        <v>5253</v>
      </c>
      <c r="AZ453" s="18">
        <v>0</v>
      </c>
      <c r="BA453" s="18">
        <v>0</v>
      </c>
      <c r="BB453" s="18">
        <v>0</v>
      </c>
      <c r="BD453" s="18">
        <v>0</v>
      </c>
      <c r="BE453" s="18">
        <v>0</v>
      </c>
      <c r="BG453" s="18" t="s">
        <v>5238</v>
      </c>
      <c r="BH453" s="18">
        <v>0</v>
      </c>
      <c r="BI453" s="18">
        <v>0</v>
      </c>
      <c r="BJ453" s="18">
        <v>0</v>
      </c>
      <c r="BQ453" s="18">
        <v>309</v>
      </c>
      <c r="BR453" s="18">
        <v>167</v>
      </c>
      <c r="BS453" s="18">
        <v>56</v>
      </c>
      <c r="BT453" s="18">
        <v>155</v>
      </c>
      <c r="BU453" s="18">
        <v>0</v>
      </c>
      <c r="BV453" s="18">
        <v>687</v>
      </c>
      <c r="BW453" s="15">
        <f t="shared" si="26"/>
        <v>687</v>
      </c>
      <c r="BY453" s="18" t="s">
        <v>6536</v>
      </c>
      <c r="BZ453" s="18" t="s">
        <v>5240</v>
      </c>
      <c r="CD453" s="18" t="s">
        <v>5127</v>
      </c>
      <c r="CE453" s="18" t="s">
        <v>5127</v>
      </c>
      <c r="CF453" s="18" t="s">
        <v>5135</v>
      </c>
      <c r="CG453" s="18" t="s">
        <v>5193</v>
      </c>
      <c r="CH453" s="18" t="s">
        <v>5556</v>
      </c>
      <c r="CI453" s="18" t="s">
        <v>5138</v>
      </c>
      <c r="CJ453" s="18" t="s">
        <v>5196</v>
      </c>
      <c r="CK453" s="18" t="s">
        <v>5256</v>
      </c>
      <c r="CL453" s="18">
        <v>1</v>
      </c>
      <c r="CM453" s="18">
        <v>1</v>
      </c>
      <c r="CN453" s="18">
        <v>1</v>
      </c>
      <c r="CO453" s="18">
        <v>1</v>
      </c>
      <c r="CP453" s="18">
        <v>2</v>
      </c>
      <c r="CQ453" s="18">
        <v>1</v>
      </c>
      <c r="CR453" s="18" t="s">
        <v>5141</v>
      </c>
      <c r="CS453" s="18" t="s">
        <v>5141</v>
      </c>
      <c r="CT453" s="18">
        <v>1</v>
      </c>
      <c r="CU453" s="18">
        <v>1</v>
      </c>
      <c r="CV453" s="18" t="s">
        <v>5141</v>
      </c>
      <c r="CX453" s="18">
        <v>0</v>
      </c>
      <c r="CY453" s="18">
        <v>0</v>
      </c>
      <c r="CZ453" s="18">
        <v>1</v>
      </c>
      <c r="DA453" s="18">
        <v>1</v>
      </c>
      <c r="DB453" s="18">
        <v>1</v>
      </c>
      <c r="DC453" s="18">
        <v>1</v>
      </c>
      <c r="DD453" s="18">
        <v>2</v>
      </c>
      <c r="DE453" s="18" t="s">
        <v>5141</v>
      </c>
      <c r="DF453" s="18" t="s">
        <v>5141</v>
      </c>
      <c r="DG453" s="18">
        <v>0</v>
      </c>
      <c r="DH453" s="18">
        <v>1</v>
      </c>
      <c r="DI453" s="18" t="s">
        <v>5141</v>
      </c>
      <c r="DK453" s="18">
        <v>0</v>
      </c>
      <c r="DL453" s="18">
        <v>1</v>
      </c>
      <c r="DM453" s="18" t="s">
        <v>5127</v>
      </c>
      <c r="DN453" s="18" t="s">
        <v>5172</v>
      </c>
      <c r="DO453" s="18" t="s">
        <v>5143</v>
      </c>
      <c r="DP453" s="18" t="s">
        <v>113</v>
      </c>
      <c r="DQ453" s="18" t="s">
        <v>5132</v>
      </c>
      <c r="DS453" s="18" t="s">
        <v>6537</v>
      </c>
      <c r="DT453" s="18">
        <v>1</v>
      </c>
      <c r="DU453" s="18">
        <v>2</v>
      </c>
      <c r="DV453" s="18" t="s">
        <v>5444</v>
      </c>
      <c r="DX453" s="18" t="s">
        <v>5201</v>
      </c>
      <c r="DY453" s="18" t="s">
        <v>106</v>
      </c>
      <c r="DZ453" s="18" t="s">
        <v>106</v>
      </c>
      <c r="EA453" s="18" t="s">
        <v>5261</v>
      </c>
      <c r="EB453" s="18">
        <v>688</v>
      </c>
      <c r="EC453" s="18" t="s">
        <v>106</v>
      </c>
      <c r="ED453" s="18" t="s">
        <v>5176</v>
      </c>
      <c r="EE453" s="18" t="s">
        <v>106</v>
      </c>
      <c r="EF453" s="18" t="s">
        <v>113</v>
      </c>
      <c r="EG453" s="18" t="s">
        <v>5326</v>
      </c>
      <c r="EH453" s="18" t="s">
        <v>5203</v>
      </c>
      <c r="EI453" s="18" t="s">
        <v>5204</v>
      </c>
      <c r="EJ453" s="18" t="s">
        <v>5287</v>
      </c>
      <c r="EK453" s="18" t="s">
        <v>113</v>
      </c>
      <c r="EL453" s="18" t="s">
        <v>6538</v>
      </c>
      <c r="EM453" s="18" t="s">
        <v>6539</v>
      </c>
      <c r="EN453" s="18" t="s">
        <v>113</v>
      </c>
      <c r="EO453" s="18" t="s">
        <v>113</v>
      </c>
      <c r="EP453" s="18" t="s">
        <v>113</v>
      </c>
      <c r="EQ453" s="18" t="s">
        <v>106</v>
      </c>
      <c r="ER453" s="18" t="s">
        <v>5206</v>
      </c>
      <c r="ES453" s="18" t="s">
        <v>5153</v>
      </c>
      <c r="ET453" s="18" t="s">
        <v>5154</v>
      </c>
      <c r="EU453" s="18" t="s">
        <v>5289</v>
      </c>
      <c r="EV453" s="18" t="s">
        <v>5608</v>
      </c>
      <c r="EW453" s="18" t="s">
        <v>5388</v>
      </c>
      <c r="EX453" s="18" t="s">
        <v>5158</v>
      </c>
      <c r="EY453" s="18" t="s">
        <v>6540</v>
      </c>
      <c r="EZ453" s="18" t="s">
        <v>5182</v>
      </c>
      <c r="FA453" s="18" t="s">
        <v>144</v>
      </c>
      <c r="FB453" s="18" t="s">
        <v>5161</v>
      </c>
    </row>
    <row r="454" spans="1:158" ht="10.5" customHeight="1" x14ac:dyDescent="0.2">
      <c r="A454" s="18">
        <v>41</v>
      </c>
      <c r="B454" s="18" t="s">
        <v>4463</v>
      </c>
      <c r="C454" s="18" t="s">
        <v>4462</v>
      </c>
      <c r="D454" s="18">
        <v>2173</v>
      </c>
      <c r="E454" s="16" t="s">
        <v>6656</v>
      </c>
      <c r="F454" s="18" t="s">
        <v>4462</v>
      </c>
      <c r="G454" s="18" t="s">
        <v>106</v>
      </c>
      <c r="H454" s="15" t="s">
        <v>5127</v>
      </c>
      <c r="I454" s="18" t="s">
        <v>2993</v>
      </c>
      <c r="J454" s="18" t="s">
        <v>2511</v>
      </c>
      <c r="K454" s="18" t="s">
        <v>4819</v>
      </c>
      <c r="L454" s="18" t="s">
        <v>220</v>
      </c>
      <c r="M454" s="18" t="s">
        <v>5183</v>
      </c>
      <c r="N454" s="18" t="s">
        <v>6541</v>
      </c>
      <c r="O454" s="18">
        <v>48718</v>
      </c>
      <c r="T454" s="18" t="s">
        <v>111</v>
      </c>
      <c r="U454" s="18" t="s">
        <v>5250</v>
      </c>
      <c r="V454" s="18" t="s">
        <v>106</v>
      </c>
      <c r="W454" s="18" t="s">
        <v>5124</v>
      </c>
      <c r="Y454" s="18" t="s">
        <v>5232</v>
      </c>
      <c r="Z454" s="18" t="s">
        <v>106</v>
      </c>
      <c r="AA454" s="18" t="s">
        <v>5267</v>
      </c>
      <c r="AB454" s="18" t="s">
        <v>179</v>
      </c>
      <c r="AC454" s="18" t="s">
        <v>111</v>
      </c>
      <c r="AD454" s="18" t="s">
        <v>5127</v>
      </c>
      <c r="AE454" s="18" t="s">
        <v>5127</v>
      </c>
      <c r="AF454" s="18" t="s">
        <v>111</v>
      </c>
      <c r="AG454" s="18" t="s">
        <v>111</v>
      </c>
      <c r="AH454" s="18" t="s">
        <v>5127</v>
      </c>
      <c r="AI454" s="18">
        <v>1</v>
      </c>
      <c r="AK454" s="18" t="s">
        <v>5164</v>
      </c>
      <c r="AN454" s="18" t="s">
        <v>2058</v>
      </c>
      <c r="AO454" s="18" t="s">
        <v>5186</v>
      </c>
      <c r="AP454" s="18" t="s">
        <v>6542</v>
      </c>
      <c r="AQ454" s="18" t="s">
        <v>5252</v>
      </c>
      <c r="AR454" s="18" t="s">
        <v>5168</v>
      </c>
      <c r="AT454" s="17">
        <f>(365*D454*0.7)/1000</f>
        <v>555.20150000000001</v>
      </c>
      <c r="AU454" s="17">
        <f t="shared" si="25"/>
        <v>15</v>
      </c>
      <c r="AV454" s="18">
        <v>15</v>
      </c>
      <c r="AW454" s="18" t="s">
        <v>126</v>
      </c>
      <c r="AY454" s="18" t="s">
        <v>6211</v>
      </c>
      <c r="AZ454" s="18">
        <v>10</v>
      </c>
      <c r="BA454" s="18">
        <v>5</v>
      </c>
      <c r="BB454" s="18">
        <v>0</v>
      </c>
      <c r="BD454" s="18">
        <v>50</v>
      </c>
      <c r="BE454" s="18">
        <v>0</v>
      </c>
      <c r="BG454" s="18" t="s">
        <v>5169</v>
      </c>
      <c r="BH454" s="18">
        <v>10</v>
      </c>
      <c r="BI454" s="18">
        <v>0</v>
      </c>
      <c r="BJ454" s="18">
        <v>0.5</v>
      </c>
      <c r="BQ454" s="18">
        <f>10000/1000</f>
        <v>10</v>
      </c>
      <c r="BR454" s="18">
        <f>1000/1000</f>
        <v>1</v>
      </c>
      <c r="BS454" s="18">
        <f>25</f>
        <v>25</v>
      </c>
      <c r="BT454" s="18">
        <f>100</f>
        <v>100</v>
      </c>
      <c r="BU454" s="18">
        <f>100</f>
        <v>100</v>
      </c>
      <c r="BV454" s="18">
        <f>SUM(BQ454:BU454)</f>
        <v>236</v>
      </c>
      <c r="BW454" s="15">
        <f t="shared" si="26"/>
        <v>236</v>
      </c>
      <c r="BY454" s="18" t="s">
        <v>5134</v>
      </c>
      <c r="BZ454" s="18" t="s">
        <v>6185</v>
      </c>
      <c r="CD454" s="18" t="s">
        <v>5127</v>
      </c>
      <c r="CE454" s="18" t="s">
        <v>111</v>
      </c>
      <c r="CF454" s="18" t="s">
        <v>5135</v>
      </c>
      <c r="CG454" s="18" t="s">
        <v>6097</v>
      </c>
      <c r="CH454" s="18" t="s">
        <v>111</v>
      </c>
      <c r="CI454" s="18" t="s">
        <v>5138</v>
      </c>
      <c r="CJ454" s="18" t="s">
        <v>5196</v>
      </c>
      <c r="CK454" s="18" t="s">
        <v>5197</v>
      </c>
      <c r="CL454" s="18">
        <v>1</v>
      </c>
      <c r="CM454" s="18">
        <v>0</v>
      </c>
      <c r="CN454" s="18">
        <v>0</v>
      </c>
      <c r="CO454" s="18">
        <v>0</v>
      </c>
      <c r="CP454" s="18">
        <v>2</v>
      </c>
      <c r="CQ454" s="18">
        <v>0</v>
      </c>
      <c r="CR454" s="18">
        <v>0</v>
      </c>
      <c r="CS454" s="18">
        <v>2</v>
      </c>
      <c r="CT454" s="18">
        <v>0</v>
      </c>
      <c r="CU454" s="18">
        <v>0</v>
      </c>
      <c r="CV454" s="18">
        <v>0</v>
      </c>
      <c r="CX454" s="18">
        <v>1</v>
      </c>
      <c r="CY454" s="18">
        <v>0</v>
      </c>
      <c r="CZ454" s="18">
        <v>1</v>
      </c>
      <c r="DA454" s="18">
        <v>1</v>
      </c>
      <c r="DB454" s="18">
        <v>1</v>
      </c>
      <c r="DC454" s="18">
        <v>0</v>
      </c>
      <c r="DD454" s="18">
        <v>0</v>
      </c>
      <c r="DE454" s="18">
        <v>0</v>
      </c>
      <c r="DF454" s="18">
        <v>0</v>
      </c>
      <c r="DG454" s="18">
        <v>1</v>
      </c>
      <c r="DH454" s="18">
        <v>0</v>
      </c>
      <c r="DI454" s="18">
        <v>0</v>
      </c>
      <c r="DK454" s="18">
        <v>1</v>
      </c>
      <c r="DL454" s="18">
        <v>0</v>
      </c>
      <c r="DM454" s="18" t="s">
        <v>5127</v>
      </c>
      <c r="DN454" s="18" t="s">
        <v>5314</v>
      </c>
      <c r="DO454" s="18" t="s">
        <v>5259</v>
      </c>
      <c r="DP454" s="18" t="s">
        <v>113</v>
      </c>
      <c r="DQ454" s="18" t="s">
        <v>5168</v>
      </c>
      <c r="DS454" s="18" t="s">
        <v>6543</v>
      </c>
      <c r="DT454" s="18">
        <v>0</v>
      </c>
      <c r="DU454" s="18">
        <v>1</v>
      </c>
      <c r="DV454" s="18" t="s">
        <v>5444</v>
      </c>
      <c r="DX454" s="18" t="s">
        <v>5201</v>
      </c>
      <c r="DY454" s="18" t="s">
        <v>106</v>
      </c>
      <c r="DZ454" s="18" t="s">
        <v>106</v>
      </c>
      <c r="EA454" s="18" t="s">
        <v>5285</v>
      </c>
      <c r="EB454" s="18" t="s">
        <v>6544</v>
      </c>
      <c r="EC454" s="18" t="s">
        <v>106</v>
      </c>
      <c r="ED454" s="18" t="s">
        <v>5147</v>
      </c>
      <c r="EE454" s="18" t="s">
        <v>106</v>
      </c>
      <c r="EF454" s="18" t="s">
        <v>113</v>
      </c>
      <c r="EG454" s="18" t="s">
        <v>5404</v>
      </c>
      <c r="EH454" s="18" t="s">
        <v>5203</v>
      </c>
      <c r="EI454" s="18" t="s">
        <v>5204</v>
      </c>
      <c r="EJ454" s="18" t="s">
        <v>5287</v>
      </c>
      <c r="EK454" s="18" t="s">
        <v>113</v>
      </c>
      <c r="EM454" s="18" t="s">
        <v>5227</v>
      </c>
      <c r="EN454" s="18" t="s">
        <v>106</v>
      </c>
      <c r="EO454" s="18" t="s">
        <v>106</v>
      </c>
      <c r="EP454" s="18" t="s">
        <v>113</v>
      </c>
      <c r="EQ454" s="18" t="s">
        <v>106</v>
      </c>
      <c r="ER454" s="18" t="s">
        <v>5155</v>
      </c>
      <c r="ES454" s="18" t="s">
        <v>5795</v>
      </c>
      <c r="ET454" s="18" t="s">
        <v>5154</v>
      </c>
      <c r="EU454" s="18" t="s">
        <v>5155</v>
      </c>
      <c r="EV454" s="18" t="s">
        <v>5596</v>
      </c>
      <c r="EW454" s="18" t="s">
        <v>5972</v>
      </c>
      <c r="EX454" s="18" t="s">
        <v>5158</v>
      </c>
      <c r="EY454" s="18" t="s">
        <v>5248</v>
      </c>
      <c r="EZ454" s="18" t="s">
        <v>5160</v>
      </c>
      <c r="FA454" s="18" t="s">
        <v>144</v>
      </c>
      <c r="FB454" s="18" t="s">
        <v>5161</v>
      </c>
    </row>
    <row r="455" spans="1:158" ht="10.5" customHeight="1" x14ac:dyDescent="0.2">
      <c r="A455" s="18">
        <v>41</v>
      </c>
      <c r="B455" s="18" t="s">
        <v>4402</v>
      </c>
      <c r="C455" s="18" t="s">
        <v>4403</v>
      </c>
      <c r="D455" s="18">
        <v>43413</v>
      </c>
      <c r="E455" s="16" t="s">
        <v>6658</v>
      </c>
      <c r="H455" s="15" t="s">
        <v>6661</v>
      </c>
      <c r="AT455" s="17">
        <f>(365*D455*0.7)/1000</f>
        <v>11092.021500000001</v>
      </c>
      <c r="AU455" s="17">
        <f t="shared" si="25"/>
        <v>0</v>
      </c>
      <c r="BW455" s="15">
        <f t="shared" si="26"/>
        <v>0</v>
      </c>
    </row>
    <row r="456" spans="1:158" ht="10.5" customHeight="1" x14ac:dyDescent="0.2">
      <c r="A456" s="18">
        <v>41</v>
      </c>
      <c r="B456" s="18" t="s">
        <v>4473</v>
      </c>
      <c r="C456" s="18" t="s">
        <v>4472</v>
      </c>
      <c r="D456" s="18">
        <v>30198</v>
      </c>
      <c r="E456" s="16" t="s">
        <v>6658</v>
      </c>
      <c r="F456" s="18" t="s">
        <v>4472</v>
      </c>
      <c r="G456" s="18" t="s">
        <v>106</v>
      </c>
      <c r="H456" s="15" t="s">
        <v>5127</v>
      </c>
      <c r="I456" s="18">
        <v>44</v>
      </c>
      <c r="J456" s="18">
        <v>16</v>
      </c>
      <c r="K456" s="18">
        <v>28</v>
      </c>
      <c r="L456" s="18">
        <v>0</v>
      </c>
      <c r="M456" s="18" t="s">
        <v>5230</v>
      </c>
      <c r="N456" s="18" t="s">
        <v>6545</v>
      </c>
      <c r="O456" s="18">
        <v>46996</v>
      </c>
      <c r="T456" s="18" t="s">
        <v>111</v>
      </c>
      <c r="U456" s="18" t="s">
        <v>5185</v>
      </c>
      <c r="V456" s="18" t="s">
        <v>106</v>
      </c>
      <c r="W456" s="18" t="s">
        <v>5124</v>
      </c>
      <c r="Y456" s="18" t="s">
        <v>5232</v>
      </c>
      <c r="Z456" s="18" t="s">
        <v>106</v>
      </c>
      <c r="AA456" s="18" t="s">
        <v>5163</v>
      </c>
      <c r="AB456" s="18" t="s">
        <v>179</v>
      </c>
      <c r="AC456" s="18" t="s">
        <v>5127</v>
      </c>
      <c r="AD456" s="18" t="s">
        <v>5127</v>
      </c>
      <c r="AE456" s="18" t="s">
        <v>5127</v>
      </c>
      <c r="AF456" s="18" t="s">
        <v>5127</v>
      </c>
      <c r="AG456" s="18" t="s">
        <v>5127</v>
      </c>
      <c r="AH456" s="18" t="s">
        <v>5127</v>
      </c>
      <c r="AI456" s="18">
        <v>1</v>
      </c>
      <c r="AK456" s="18" t="s">
        <v>5164</v>
      </c>
      <c r="AN456" s="18">
        <v>1200</v>
      </c>
      <c r="AO456" s="18" t="s">
        <v>5129</v>
      </c>
      <c r="AP456" s="18" t="s">
        <v>6546</v>
      </c>
      <c r="AQ456" s="18" t="s">
        <v>6547</v>
      </c>
      <c r="AR456" s="18" t="s">
        <v>5168</v>
      </c>
      <c r="AT456" s="17">
        <f>(365*D456*0.7)/1000</f>
        <v>7715.588999999999</v>
      </c>
      <c r="AU456" s="17">
        <f t="shared" si="25"/>
        <v>356</v>
      </c>
      <c r="AV456" s="18">
        <v>356</v>
      </c>
      <c r="AW456" s="18">
        <v>0</v>
      </c>
      <c r="AY456" s="18" t="s">
        <v>5334</v>
      </c>
      <c r="AZ456" s="18">
        <f>150/1000</f>
        <v>0.15</v>
      </c>
      <c r="BA456" s="18">
        <v>0</v>
      </c>
      <c r="BB456" s="18">
        <v>0</v>
      </c>
      <c r="BD456" s="18">
        <v>0</v>
      </c>
      <c r="BE456" s="18">
        <v>0</v>
      </c>
      <c r="BG456" s="18" t="s">
        <v>5238</v>
      </c>
      <c r="BH456" s="18">
        <v>150</v>
      </c>
      <c r="BI456" s="18">
        <v>0</v>
      </c>
      <c r="BJ456" s="18">
        <v>0</v>
      </c>
      <c r="BQ456" s="18">
        <v>306</v>
      </c>
      <c r="BR456" s="18">
        <v>258</v>
      </c>
      <c r="BS456" s="18">
        <v>89</v>
      </c>
      <c r="BT456" s="18">
        <v>191</v>
      </c>
      <c r="BU456" s="18">
        <v>0</v>
      </c>
      <c r="BV456" s="18">
        <v>844</v>
      </c>
      <c r="BW456" s="15">
        <f t="shared" si="26"/>
        <v>844</v>
      </c>
      <c r="BY456" s="18" t="s">
        <v>5134</v>
      </c>
      <c r="BZ456" s="18" t="s">
        <v>5192</v>
      </c>
      <c r="CD456" s="18" t="s">
        <v>5127</v>
      </c>
      <c r="CE456" s="18" t="s">
        <v>5127</v>
      </c>
      <c r="CF456" s="18" t="s">
        <v>5135</v>
      </c>
      <c r="CG456" s="18" t="s">
        <v>5193</v>
      </c>
      <c r="CH456" s="18" t="s">
        <v>5241</v>
      </c>
      <c r="CI456" s="18" t="s">
        <v>5138</v>
      </c>
      <c r="CJ456" s="18" t="s">
        <v>5636</v>
      </c>
      <c r="CK456" s="18" t="s">
        <v>5341</v>
      </c>
      <c r="CL456" s="18">
        <v>3</v>
      </c>
      <c r="CM456" s="18">
        <v>1</v>
      </c>
      <c r="CN456" s="18">
        <v>0</v>
      </c>
      <c r="CO456" s="18">
        <v>2</v>
      </c>
      <c r="CP456" s="18">
        <v>4</v>
      </c>
      <c r="CQ456" s="18">
        <v>1</v>
      </c>
      <c r="CR456" s="18">
        <v>0</v>
      </c>
      <c r="CS456" s="18" t="s">
        <v>5141</v>
      </c>
      <c r="CT456" s="18">
        <v>1</v>
      </c>
      <c r="CU456" s="18">
        <v>0</v>
      </c>
      <c r="CV456" s="18" t="s">
        <v>5141</v>
      </c>
      <c r="CX456" s="18">
        <v>0</v>
      </c>
      <c r="CY456" s="18">
        <v>0</v>
      </c>
      <c r="CZ456" s="18">
        <v>1</v>
      </c>
      <c r="DA456" s="18">
        <v>0</v>
      </c>
      <c r="DB456" s="18">
        <v>0</v>
      </c>
      <c r="DC456" s="18">
        <v>2</v>
      </c>
      <c r="DD456" s="18">
        <v>1</v>
      </c>
      <c r="DE456" s="18">
        <v>0</v>
      </c>
      <c r="DF456" s="18" t="s">
        <v>5141</v>
      </c>
      <c r="DG456" s="18">
        <v>0</v>
      </c>
      <c r="DH456" s="18">
        <v>0</v>
      </c>
      <c r="DI456" s="18" t="s">
        <v>5141</v>
      </c>
      <c r="DK456" s="18">
        <v>0</v>
      </c>
      <c r="DL456" s="18">
        <v>1</v>
      </c>
      <c r="DM456" s="18" t="s">
        <v>5127</v>
      </c>
      <c r="DN456" s="18" t="s">
        <v>5172</v>
      </c>
      <c r="DO456" s="18" t="s">
        <v>5315</v>
      </c>
      <c r="DP456" s="18" t="s">
        <v>106</v>
      </c>
      <c r="DQ456" s="18" t="s">
        <v>5168</v>
      </c>
      <c r="DS456" s="18">
        <v>0</v>
      </c>
      <c r="DT456" s="18">
        <v>2</v>
      </c>
      <c r="DU456" s="18">
        <v>1</v>
      </c>
      <c r="DV456" s="18" t="s">
        <v>5342</v>
      </c>
      <c r="DX456" s="18" t="s">
        <v>5145</v>
      </c>
      <c r="DY456" s="18" t="s">
        <v>106</v>
      </c>
      <c r="DZ456" s="18" t="s">
        <v>113</v>
      </c>
      <c r="EA456" s="18" t="s">
        <v>5261</v>
      </c>
      <c r="EB456" s="18">
        <v>844</v>
      </c>
      <c r="EC456" s="18" t="s">
        <v>106</v>
      </c>
      <c r="ED456" s="18" t="s">
        <v>5147</v>
      </c>
      <c r="EE456" s="18" t="s">
        <v>106</v>
      </c>
      <c r="EF456" s="18" t="s">
        <v>113</v>
      </c>
      <c r="EG456" s="18" t="s">
        <v>5148</v>
      </c>
      <c r="EH456" s="18" t="s">
        <v>5203</v>
      </c>
      <c r="EI456" s="18" t="s">
        <v>5204</v>
      </c>
      <c r="EJ456" s="18" t="s">
        <v>5245</v>
      </c>
      <c r="EK456" s="18" t="s">
        <v>113</v>
      </c>
      <c r="EL456" s="18" t="s">
        <v>6548</v>
      </c>
      <c r="EM456" s="18" t="s">
        <v>6549</v>
      </c>
      <c r="EN456" s="18" t="s">
        <v>113</v>
      </c>
      <c r="EO456" s="18" t="s">
        <v>113</v>
      </c>
      <c r="EP456" s="18" t="s">
        <v>113</v>
      </c>
      <c r="EQ456" s="18" t="s">
        <v>113</v>
      </c>
      <c r="ER456" s="18" t="s">
        <v>5206</v>
      </c>
      <c r="ES456" s="18" t="s">
        <v>5153</v>
      </c>
      <c r="ET456" s="18" t="s">
        <v>5154</v>
      </c>
      <c r="EU456" s="18" t="s">
        <v>5318</v>
      </c>
      <c r="EV456" s="18" t="s">
        <v>5482</v>
      </c>
      <c r="EW456" s="18" t="s">
        <v>5406</v>
      </c>
      <c r="EX456" s="18" t="s">
        <v>5158</v>
      </c>
      <c r="EY456" s="18" t="s">
        <v>5229</v>
      </c>
      <c r="EZ456" s="18" t="s">
        <v>5160</v>
      </c>
      <c r="FA456" s="18" t="s">
        <v>144</v>
      </c>
      <c r="FB456" s="18" t="s">
        <v>5161</v>
      </c>
    </row>
    <row r="457" spans="1:158" ht="10.5" customHeight="1" x14ac:dyDescent="0.2">
      <c r="A457" s="18">
        <v>41</v>
      </c>
      <c r="B457" s="18" t="s">
        <v>4484</v>
      </c>
      <c r="C457" s="18" t="s">
        <v>4483</v>
      </c>
      <c r="D457" s="18">
        <v>5769</v>
      </c>
      <c r="E457" s="16" t="s">
        <v>6656</v>
      </c>
      <c r="F457" s="18" t="s">
        <v>4483</v>
      </c>
      <c r="G457" s="18" t="s">
        <v>106</v>
      </c>
      <c r="H457" s="15" t="s">
        <v>5127</v>
      </c>
      <c r="I457" s="18">
        <v>12</v>
      </c>
      <c r="J457" s="18">
        <v>8</v>
      </c>
      <c r="K457" s="18">
        <v>4</v>
      </c>
      <c r="L457" s="18">
        <v>0</v>
      </c>
      <c r="M457" s="18" t="s">
        <v>5183</v>
      </c>
      <c r="N457" s="18" t="s">
        <v>6550</v>
      </c>
      <c r="T457" s="18" t="s">
        <v>111</v>
      </c>
      <c r="U457" s="18" t="s">
        <v>5250</v>
      </c>
      <c r="V457" s="18" t="s">
        <v>106</v>
      </c>
      <c r="W457" s="18" t="s">
        <v>5211</v>
      </c>
      <c r="Y457" s="18" t="s">
        <v>6551</v>
      </c>
      <c r="Z457" s="18" t="s">
        <v>106</v>
      </c>
      <c r="AA457" s="18" t="s">
        <v>5163</v>
      </c>
      <c r="AB457" s="18" t="s">
        <v>179</v>
      </c>
      <c r="AC457" s="18" t="s">
        <v>5127</v>
      </c>
      <c r="AD457" s="18" t="s">
        <v>5127</v>
      </c>
      <c r="AE457" s="18" t="s">
        <v>111</v>
      </c>
      <c r="AF457" s="18" t="s">
        <v>5127</v>
      </c>
      <c r="AG457" s="18" t="s">
        <v>5127</v>
      </c>
      <c r="AH457" s="18" t="s">
        <v>5127</v>
      </c>
      <c r="AI457" s="18">
        <v>1</v>
      </c>
      <c r="AK457" s="18" t="s">
        <v>5279</v>
      </c>
      <c r="AN457" s="18">
        <v>0</v>
      </c>
      <c r="AO457" s="18" t="s">
        <v>5186</v>
      </c>
      <c r="AP457" s="18" t="s">
        <v>6552</v>
      </c>
      <c r="AQ457" s="18" t="s">
        <v>6553</v>
      </c>
      <c r="AR457" s="18" t="s">
        <v>5168</v>
      </c>
      <c r="AT457" s="17">
        <f>(365*D457*0.7)/1000</f>
        <v>1473.9794999999999</v>
      </c>
      <c r="AU457" s="17">
        <f t="shared" si="25"/>
        <v>0</v>
      </c>
      <c r="AV457" s="18">
        <v>0</v>
      </c>
      <c r="AW457" s="18">
        <v>0</v>
      </c>
      <c r="AY457" s="18" t="s">
        <v>164</v>
      </c>
      <c r="AZ457" s="18">
        <v>0</v>
      </c>
      <c r="BA457" s="18">
        <v>0</v>
      </c>
      <c r="BB457" s="18">
        <v>0</v>
      </c>
      <c r="BD457" s="18">
        <v>0</v>
      </c>
      <c r="BE457" s="18">
        <v>0</v>
      </c>
      <c r="BG457" s="18" t="s">
        <v>5281</v>
      </c>
      <c r="BH457" s="18">
        <v>0</v>
      </c>
      <c r="BI457" s="18">
        <v>0</v>
      </c>
      <c r="BJ457" s="18">
        <v>0</v>
      </c>
      <c r="BQ457" s="18">
        <v>0</v>
      </c>
      <c r="BR457" s="18">
        <v>0</v>
      </c>
      <c r="BS457" s="18">
        <v>0</v>
      </c>
      <c r="BT457" s="18">
        <v>0</v>
      </c>
      <c r="BU457" s="18">
        <v>0</v>
      </c>
      <c r="BV457" s="18">
        <v>0</v>
      </c>
      <c r="BW457" s="15">
        <f t="shared" si="26"/>
        <v>0</v>
      </c>
      <c r="BY457" s="18" t="s">
        <v>5134</v>
      </c>
      <c r="BZ457" s="18" t="s">
        <v>193</v>
      </c>
      <c r="CD457" s="18" t="s">
        <v>5127</v>
      </c>
      <c r="CE457" s="18" t="s">
        <v>5127</v>
      </c>
      <c r="CF457" s="18" t="s">
        <v>5135</v>
      </c>
      <c r="CG457" s="18" t="s">
        <v>5298</v>
      </c>
      <c r="CH457" s="18" t="s">
        <v>5194</v>
      </c>
      <c r="CI457" s="18" t="s">
        <v>5138</v>
      </c>
      <c r="CJ457" s="18" t="s">
        <v>5196</v>
      </c>
      <c r="CK457" s="18" t="s">
        <v>5171</v>
      </c>
      <c r="CL457" s="18">
        <v>1</v>
      </c>
      <c r="CM457" s="18">
        <v>1</v>
      </c>
      <c r="CN457" s="18">
        <v>1</v>
      </c>
      <c r="CO457" s="18">
        <v>2</v>
      </c>
      <c r="CP457" s="18">
        <v>1</v>
      </c>
      <c r="CQ457" s="18">
        <v>1</v>
      </c>
      <c r="CR457" s="18">
        <v>0</v>
      </c>
      <c r="CS457" s="18" t="s">
        <v>5141</v>
      </c>
      <c r="CT457" s="18">
        <v>0</v>
      </c>
      <c r="CU457" s="18">
        <v>0</v>
      </c>
      <c r="CV457" s="18" t="s">
        <v>5141</v>
      </c>
      <c r="CX457" s="18">
        <v>1</v>
      </c>
      <c r="CY457" s="18">
        <v>1</v>
      </c>
      <c r="CZ457" s="18">
        <v>1</v>
      </c>
      <c r="DA457" s="18">
        <v>1</v>
      </c>
      <c r="DB457" s="18">
        <v>1</v>
      </c>
      <c r="DC457" s="18">
        <v>1</v>
      </c>
      <c r="DD457" s="18">
        <v>1</v>
      </c>
      <c r="DE457" s="18">
        <v>2</v>
      </c>
      <c r="DF457" s="18" t="s">
        <v>5141</v>
      </c>
      <c r="DG457" s="18">
        <v>1</v>
      </c>
      <c r="DH457" s="18" t="s">
        <v>5141</v>
      </c>
      <c r="DI457" s="18">
        <v>1</v>
      </c>
      <c r="DK457" s="18">
        <v>0</v>
      </c>
      <c r="DL457" s="18">
        <v>1</v>
      </c>
      <c r="DM457" s="18" t="s">
        <v>5127</v>
      </c>
      <c r="DN457" s="18" t="s">
        <v>5258</v>
      </c>
      <c r="DO457" s="18" t="s">
        <v>5371</v>
      </c>
      <c r="DP457" s="18" t="s">
        <v>113</v>
      </c>
      <c r="DQ457" s="18" t="s">
        <v>5168</v>
      </c>
      <c r="DS457" s="18">
        <v>0</v>
      </c>
      <c r="DT457" s="18">
        <v>0</v>
      </c>
      <c r="DU457" s="18">
        <v>1</v>
      </c>
      <c r="DV457" s="18" t="s">
        <v>5444</v>
      </c>
      <c r="DX457" s="18" t="s">
        <v>5201</v>
      </c>
      <c r="DY457" s="18" t="s">
        <v>106</v>
      </c>
      <c r="DZ457" s="18" t="s">
        <v>113</v>
      </c>
      <c r="EA457" s="18" t="s">
        <v>5285</v>
      </c>
      <c r="EB457" s="18">
        <v>0</v>
      </c>
      <c r="EC457" s="18" t="s">
        <v>106</v>
      </c>
      <c r="ED457" s="18" t="s">
        <v>5176</v>
      </c>
      <c r="EE457" s="18" t="s">
        <v>113</v>
      </c>
      <c r="EF457" s="18" t="s">
        <v>113</v>
      </c>
      <c r="EG457" s="18" t="s">
        <v>5404</v>
      </c>
      <c r="EH457" s="18" t="s">
        <v>5203</v>
      </c>
      <c r="EI457" s="18" t="s">
        <v>5204</v>
      </c>
      <c r="EJ457" s="18" t="s">
        <v>5245</v>
      </c>
      <c r="EK457" s="18" t="s">
        <v>113</v>
      </c>
      <c r="EL457" s="18" t="s">
        <v>6554</v>
      </c>
      <c r="EM457" s="18" t="s">
        <v>6555</v>
      </c>
      <c r="EN457" s="18" t="s">
        <v>113</v>
      </c>
      <c r="EO457" s="18" t="s">
        <v>113</v>
      </c>
      <c r="EP457" s="18" t="s">
        <v>113</v>
      </c>
      <c r="EQ457" s="18" t="s">
        <v>106</v>
      </c>
      <c r="ER457" s="18" t="s">
        <v>5206</v>
      </c>
      <c r="ES457" s="18" t="s">
        <v>5153</v>
      </c>
      <c r="ET457" s="18" t="s">
        <v>5154</v>
      </c>
      <c r="EU457" s="18" t="s">
        <v>5318</v>
      </c>
      <c r="EV457" s="18" t="s">
        <v>5305</v>
      </c>
      <c r="EW457" s="18" t="s">
        <v>5455</v>
      </c>
      <c r="EX457" s="18" t="s">
        <v>5158</v>
      </c>
      <c r="EY457" s="18" t="s">
        <v>5229</v>
      </c>
      <c r="EZ457" s="18" t="s">
        <v>5160</v>
      </c>
      <c r="FA457" s="18" t="s">
        <v>144</v>
      </c>
      <c r="FB457" s="18" t="s">
        <v>5161</v>
      </c>
    </row>
    <row r="458" spans="1:158" ht="10.5" customHeight="1" x14ac:dyDescent="0.2">
      <c r="A458" s="18">
        <v>41</v>
      </c>
      <c r="B458" s="18" t="s">
        <v>4501</v>
      </c>
      <c r="C458" s="18" t="s">
        <v>4500</v>
      </c>
      <c r="D458" s="18">
        <v>8611</v>
      </c>
      <c r="E458" s="16" t="s">
        <v>6656</v>
      </c>
      <c r="F458" s="18" t="s">
        <v>4500</v>
      </c>
      <c r="G458" s="18" t="s">
        <v>106</v>
      </c>
      <c r="H458" s="15" t="s">
        <v>5127</v>
      </c>
      <c r="I458" s="18">
        <v>11</v>
      </c>
      <c r="J458" s="18">
        <v>6</v>
      </c>
      <c r="K458" s="18">
        <v>5</v>
      </c>
      <c r="M458" s="18" t="s">
        <v>5183</v>
      </c>
      <c r="N458" s="18">
        <v>194560419</v>
      </c>
      <c r="O458" s="18">
        <v>47023</v>
      </c>
      <c r="T458" s="18" t="s">
        <v>111</v>
      </c>
      <c r="U458" s="18" t="s">
        <v>5185</v>
      </c>
      <c r="V458" s="18" t="s">
        <v>106</v>
      </c>
      <c r="W458" s="18" t="s">
        <v>5211</v>
      </c>
      <c r="Y458" s="18" t="s">
        <v>5232</v>
      </c>
      <c r="Z458" s="18" t="s">
        <v>113</v>
      </c>
      <c r="AA458" s="18" t="s">
        <v>5163</v>
      </c>
      <c r="AB458" s="18" t="s">
        <v>179</v>
      </c>
      <c r="AC458" s="18" t="s">
        <v>111</v>
      </c>
      <c r="AD458" s="18" t="s">
        <v>111</v>
      </c>
      <c r="AE458" s="18" t="s">
        <v>111</v>
      </c>
      <c r="AF458" s="18" t="s">
        <v>111</v>
      </c>
      <c r="AG458" s="18" t="s">
        <v>5127</v>
      </c>
      <c r="AH458" s="18" t="s">
        <v>111</v>
      </c>
      <c r="AI458" s="18">
        <v>0</v>
      </c>
      <c r="AK458" s="18" t="s">
        <v>5128</v>
      </c>
      <c r="AN458" s="18">
        <v>374</v>
      </c>
      <c r="AO458" s="18" t="s">
        <v>5129</v>
      </c>
      <c r="AP458" s="18" t="s">
        <v>6556</v>
      </c>
      <c r="AQ458" s="18" t="s">
        <v>5252</v>
      </c>
      <c r="AR458" s="18" t="s">
        <v>5168</v>
      </c>
      <c r="AT458" s="17">
        <f>(365*D458*0.7)/1000</f>
        <v>2200.1104999999998</v>
      </c>
      <c r="AU458" s="17">
        <f t="shared" si="25"/>
        <v>107</v>
      </c>
      <c r="AV458" s="18">
        <v>107</v>
      </c>
      <c r="AW458" s="18">
        <v>0</v>
      </c>
      <c r="AY458" s="18" t="s">
        <v>164</v>
      </c>
      <c r="BG458" s="18" t="s">
        <v>5281</v>
      </c>
      <c r="BQ458" s="18">
        <v>106.8</v>
      </c>
      <c r="BR458" s="18">
        <v>93.45</v>
      </c>
      <c r="BS458" s="18">
        <v>26.7</v>
      </c>
      <c r="BT458" s="18">
        <v>40.049999999999997</v>
      </c>
      <c r="BU458" s="18">
        <v>0</v>
      </c>
      <c r="BV458" s="18">
        <v>267</v>
      </c>
      <c r="BW458" s="15">
        <f t="shared" si="26"/>
        <v>267</v>
      </c>
      <c r="BY458" s="18" t="s">
        <v>6557</v>
      </c>
      <c r="BZ458" s="18" t="s">
        <v>193</v>
      </c>
      <c r="CD458" s="18" t="s">
        <v>5127</v>
      </c>
      <c r="CE458" s="18" t="s">
        <v>111</v>
      </c>
      <c r="CF458" s="18" t="s">
        <v>5135</v>
      </c>
      <c r="CG458" s="18" t="s">
        <v>5427</v>
      </c>
      <c r="CH458" s="18" t="s">
        <v>5241</v>
      </c>
      <c r="CI458" s="18" t="s">
        <v>5138</v>
      </c>
      <c r="CJ458" s="18" t="s">
        <v>5196</v>
      </c>
      <c r="CK458" s="18" t="s">
        <v>5197</v>
      </c>
      <c r="CL458" s="18">
        <v>1</v>
      </c>
      <c r="CM458" s="18">
        <v>0</v>
      </c>
      <c r="CN458" s="18">
        <v>0</v>
      </c>
      <c r="CO458" s="18">
        <v>1</v>
      </c>
      <c r="CP458" s="18">
        <v>1</v>
      </c>
      <c r="CQ458" s="18">
        <v>1</v>
      </c>
      <c r="CR458" s="18">
        <v>0</v>
      </c>
      <c r="CS458" s="18" t="s">
        <v>5141</v>
      </c>
      <c r="CT458" s="18">
        <v>1</v>
      </c>
      <c r="CU458" s="18">
        <v>0</v>
      </c>
      <c r="CV458" s="18">
        <v>0</v>
      </c>
      <c r="CX458" s="18">
        <v>0</v>
      </c>
      <c r="CY458" s="18">
        <v>0</v>
      </c>
      <c r="CZ458" s="18">
        <v>0</v>
      </c>
      <c r="DA458" s="18">
        <v>1</v>
      </c>
      <c r="DB458" s="18">
        <v>0</v>
      </c>
      <c r="DC458" s="18">
        <v>1</v>
      </c>
      <c r="DD458" s="18">
        <v>0</v>
      </c>
      <c r="DE458" s="18">
        <v>0</v>
      </c>
      <c r="DF458" s="18">
        <v>0</v>
      </c>
      <c r="DG458" s="18">
        <v>0</v>
      </c>
      <c r="DH458" s="18">
        <v>1</v>
      </c>
      <c r="DI458" s="18">
        <v>0</v>
      </c>
      <c r="DK458" s="18">
        <v>0</v>
      </c>
      <c r="DL458" s="18">
        <v>0</v>
      </c>
      <c r="DM458" s="18" t="s">
        <v>5127</v>
      </c>
      <c r="DN458" s="18" t="s">
        <v>5314</v>
      </c>
      <c r="DO458" s="18" t="s">
        <v>5259</v>
      </c>
      <c r="DP458" s="18" t="s">
        <v>113</v>
      </c>
      <c r="DS458" s="18">
        <v>0</v>
      </c>
      <c r="DT458" s="18">
        <v>0</v>
      </c>
      <c r="DU458" s="18">
        <v>1</v>
      </c>
      <c r="DV458" s="18" t="s">
        <v>6558</v>
      </c>
      <c r="DX458" s="18" t="s">
        <v>5222</v>
      </c>
      <c r="DY458" s="18" t="s">
        <v>106</v>
      </c>
      <c r="DZ458" s="18" t="s">
        <v>113</v>
      </c>
      <c r="EA458" s="18" t="s">
        <v>5146</v>
      </c>
      <c r="EB458" s="18">
        <v>267</v>
      </c>
      <c r="EC458" s="18" t="s">
        <v>106</v>
      </c>
      <c r="ED458" s="18" t="s">
        <v>5147</v>
      </c>
      <c r="EE458" s="18" t="s">
        <v>106</v>
      </c>
      <c r="EF458" s="18" t="s">
        <v>113</v>
      </c>
      <c r="EG458" s="18" t="s">
        <v>5148</v>
      </c>
      <c r="EH458" s="18" t="s">
        <v>5203</v>
      </c>
      <c r="EI458" s="18" t="s">
        <v>5204</v>
      </c>
      <c r="EJ458" s="18" t="s">
        <v>6559</v>
      </c>
      <c r="EN458" s="18" t="s">
        <v>113</v>
      </c>
      <c r="ER458" s="18" t="s">
        <v>5155</v>
      </c>
      <c r="ES458" s="18" t="s">
        <v>5447</v>
      </c>
      <c r="ET458" s="18" t="s">
        <v>5154</v>
      </c>
      <c r="EU458" s="18" t="s">
        <v>5155</v>
      </c>
      <c r="EV458" s="18" t="s">
        <v>5276</v>
      </c>
      <c r="EW458" s="18" t="s">
        <v>179</v>
      </c>
      <c r="EX458" s="18" t="s">
        <v>5158</v>
      </c>
      <c r="EY458" s="18" t="s">
        <v>5229</v>
      </c>
      <c r="EZ458" s="18" t="s">
        <v>5160</v>
      </c>
      <c r="FA458" s="18" t="s">
        <v>144</v>
      </c>
      <c r="FB458" s="18" t="s">
        <v>5161</v>
      </c>
    </row>
    <row r="459" spans="1:158" ht="10.5" customHeight="1" x14ac:dyDescent="0.2">
      <c r="A459" s="18">
        <v>41</v>
      </c>
      <c r="B459" s="18" t="s">
        <v>575</v>
      </c>
      <c r="C459" s="18" t="s">
        <v>576</v>
      </c>
      <c r="D459" s="18">
        <v>2722</v>
      </c>
      <c r="E459" s="16" t="s">
        <v>6656</v>
      </c>
      <c r="F459" s="18" t="s">
        <v>576</v>
      </c>
      <c r="G459" s="18" t="s">
        <v>113</v>
      </c>
      <c r="H459" s="15" t="s">
        <v>111</v>
      </c>
      <c r="AT459" s="17">
        <f>(365*D459*0.7)/1000</f>
        <v>695.471</v>
      </c>
      <c r="AU459" s="17">
        <f t="shared" si="25"/>
        <v>0</v>
      </c>
      <c r="BW459" s="15">
        <f t="shared" si="26"/>
        <v>0</v>
      </c>
    </row>
    <row r="460" spans="1:158" ht="10.5" customHeight="1" x14ac:dyDescent="0.2">
      <c r="A460" s="18">
        <v>41</v>
      </c>
      <c r="B460" s="18" t="s">
        <v>4519</v>
      </c>
      <c r="C460" s="18" t="s">
        <v>4518</v>
      </c>
      <c r="D460" s="18">
        <v>8100</v>
      </c>
      <c r="E460" s="16" t="s">
        <v>6656</v>
      </c>
      <c r="F460" s="18" t="s">
        <v>4518</v>
      </c>
      <c r="G460" s="18" t="s">
        <v>106</v>
      </c>
      <c r="H460" s="15" t="s">
        <v>5127</v>
      </c>
      <c r="I460" s="18">
        <v>10</v>
      </c>
      <c r="J460" s="18">
        <v>5</v>
      </c>
      <c r="K460" s="18">
        <v>5</v>
      </c>
      <c r="L460" s="18">
        <v>0</v>
      </c>
      <c r="M460" s="18" t="s">
        <v>5183</v>
      </c>
      <c r="N460" s="18" t="s">
        <v>6560</v>
      </c>
      <c r="O460" s="18">
        <v>46042</v>
      </c>
      <c r="T460" s="18" t="s">
        <v>5382</v>
      </c>
      <c r="U460" s="18" t="s">
        <v>5250</v>
      </c>
      <c r="V460" s="18" t="s">
        <v>106</v>
      </c>
      <c r="W460" s="18" t="s">
        <v>5211</v>
      </c>
      <c r="Y460" s="18" t="s">
        <v>5942</v>
      </c>
      <c r="Z460" s="18" t="s">
        <v>113</v>
      </c>
      <c r="AA460" s="18" t="s">
        <v>5267</v>
      </c>
      <c r="AC460" s="18" t="s">
        <v>111</v>
      </c>
      <c r="AD460" s="18" t="s">
        <v>5127</v>
      </c>
      <c r="AE460" s="18" t="s">
        <v>5127</v>
      </c>
      <c r="AF460" s="18" t="s">
        <v>5127</v>
      </c>
      <c r="AG460" s="18" t="s">
        <v>5127</v>
      </c>
      <c r="AH460" s="18" t="s">
        <v>111</v>
      </c>
      <c r="AI460" s="18">
        <v>0</v>
      </c>
      <c r="AK460" s="18" t="s">
        <v>5164</v>
      </c>
      <c r="AN460" s="18">
        <v>0</v>
      </c>
      <c r="AO460" s="18" t="s">
        <v>5294</v>
      </c>
      <c r="AP460" s="18" t="s">
        <v>6561</v>
      </c>
      <c r="AQ460" s="18" t="s">
        <v>5167</v>
      </c>
      <c r="AR460" s="18" t="s">
        <v>5168</v>
      </c>
      <c r="AT460" s="17">
        <f>(365*D460*0.7)/1000</f>
        <v>2069.5499999999997</v>
      </c>
      <c r="AU460" s="17">
        <f t="shared" si="25"/>
        <v>0</v>
      </c>
      <c r="AV460" s="18">
        <v>0</v>
      </c>
      <c r="AW460" s="18">
        <v>0</v>
      </c>
      <c r="AY460" s="18" t="s">
        <v>5526</v>
      </c>
      <c r="BG460" s="18" t="s">
        <v>5281</v>
      </c>
      <c r="BQ460" s="18">
        <v>120</v>
      </c>
      <c r="BR460" s="18">
        <v>60</v>
      </c>
      <c r="BS460" s="18">
        <v>24</v>
      </c>
      <c r="BT460" s="18">
        <v>36</v>
      </c>
      <c r="BU460" s="18">
        <v>0</v>
      </c>
      <c r="BV460" s="18">
        <v>240</v>
      </c>
      <c r="BW460" s="15">
        <f t="shared" si="26"/>
        <v>240</v>
      </c>
      <c r="BY460" s="18" t="s">
        <v>5134</v>
      </c>
      <c r="BZ460" s="18" t="s">
        <v>193</v>
      </c>
      <c r="CD460" s="18" t="s">
        <v>5127</v>
      </c>
      <c r="CE460" s="18" t="s">
        <v>5127</v>
      </c>
      <c r="CF460" s="18" t="s">
        <v>5135</v>
      </c>
      <c r="CG460" s="18" t="s">
        <v>5193</v>
      </c>
      <c r="CH460" s="18" t="s">
        <v>5241</v>
      </c>
      <c r="CI460" s="18" t="s">
        <v>5138</v>
      </c>
      <c r="CJ460" s="18" t="s">
        <v>5139</v>
      </c>
      <c r="CK460" s="18" t="s">
        <v>5197</v>
      </c>
      <c r="CL460" s="18">
        <v>2</v>
      </c>
      <c r="CM460" s="18">
        <v>0</v>
      </c>
      <c r="CN460" s="18">
        <v>0</v>
      </c>
      <c r="CO460" s="18">
        <v>1</v>
      </c>
      <c r="CP460" s="18">
        <v>1</v>
      </c>
      <c r="CQ460" s="18">
        <v>0</v>
      </c>
      <c r="CR460" s="18">
        <v>0</v>
      </c>
      <c r="CS460" s="18" t="s">
        <v>5141</v>
      </c>
      <c r="CT460" s="18">
        <v>0</v>
      </c>
      <c r="CU460" s="18">
        <v>0</v>
      </c>
      <c r="CV460" s="18">
        <v>0</v>
      </c>
      <c r="CX460" s="18">
        <v>1</v>
      </c>
      <c r="CY460" s="18">
        <v>1</v>
      </c>
      <c r="CZ460" s="18">
        <v>0</v>
      </c>
      <c r="DA460" s="18">
        <v>1</v>
      </c>
      <c r="DB460" s="18">
        <v>1</v>
      </c>
      <c r="DC460" s="18">
        <v>1</v>
      </c>
      <c r="DD460" s="18">
        <v>1</v>
      </c>
      <c r="DE460" s="18">
        <v>0</v>
      </c>
      <c r="DF460" s="18">
        <v>0</v>
      </c>
      <c r="DG460" s="18">
        <v>1</v>
      </c>
      <c r="DH460" s="18">
        <v>1</v>
      </c>
      <c r="DI460" s="18">
        <v>1</v>
      </c>
      <c r="DK460" s="18">
        <v>0</v>
      </c>
      <c r="DL460" s="18">
        <v>0</v>
      </c>
      <c r="DM460" s="18" t="s">
        <v>5127</v>
      </c>
      <c r="DN460" s="18" t="s">
        <v>5314</v>
      </c>
      <c r="DO460" s="18" t="s">
        <v>5173</v>
      </c>
      <c r="DP460" s="18" t="s">
        <v>113</v>
      </c>
      <c r="DS460" s="18">
        <v>0</v>
      </c>
      <c r="DT460" s="18">
        <v>1</v>
      </c>
      <c r="DU460" s="18" t="s">
        <v>5358</v>
      </c>
      <c r="DV460" s="18" t="s">
        <v>5444</v>
      </c>
      <c r="DX460" s="18" t="s">
        <v>5145</v>
      </c>
      <c r="DY460" s="18" t="s">
        <v>106</v>
      </c>
      <c r="DZ460" s="18" t="s">
        <v>113</v>
      </c>
      <c r="EA460" s="18" t="s">
        <v>5337</v>
      </c>
      <c r="EB460" s="18">
        <v>240</v>
      </c>
      <c r="EC460" s="18" t="s">
        <v>106</v>
      </c>
      <c r="ED460" s="18" t="s">
        <v>5147</v>
      </c>
      <c r="EE460" s="18" t="s">
        <v>106</v>
      </c>
      <c r="EF460" s="18" t="s">
        <v>113</v>
      </c>
      <c r="EG460" s="18" t="s">
        <v>5404</v>
      </c>
      <c r="EH460" s="18" t="s">
        <v>5203</v>
      </c>
      <c r="EI460" s="18" t="s">
        <v>5204</v>
      </c>
      <c r="EJ460" s="18" t="s">
        <v>5338</v>
      </c>
      <c r="EK460" s="18" t="s">
        <v>113</v>
      </c>
      <c r="EN460" s="18" t="s">
        <v>113</v>
      </c>
      <c r="EO460" s="18" t="s">
        <v>106</v>
      </c>
      <c r="EP460" s="18" t="s">
        <v>113</v>
      </c>
      <c r="EQ460" s="18" t="s">
        <v>106</v>
      </c>
      <c r="ER460" s="18" t="s">
        <v>5155</v>
      </c>
      <c r="ES460" s="18" t="s">
        <v>5558</v>
      </c>
      <c r="ET460" s="18" t="s">
        <v>5154</v>
      </c>
      <c r="EU460" s="18" t="s">
        <v>5318</v>
      </c>
      <c r="EV460" s="18" t="s">
        <v>5469</v>
      </c>
      <c r="EW460" s="18" t="s">
        <v>5437</v>
      </c>
      <c r="EX460" s="18" t="s">
        <v>5158</v>
      </c>
      <c r="EY460" s="18" t="s">
        <v>5292</v>
      </c>
      <c r="EZ460" s="18" t="s">
        <v>5160</v>
      </c>
      <c r="FA460" s="18" t="s">
        <v>144</v>
      </c>
      <c r="FB460" s="18" t="s">
        <v>5161</v>
      </c>
    </row>
    <row r="461" spans="1:158" ht="10.5" customHeight="1" x14ac:dyDescent="0.2">
      <c r="A461" s="18">
        <v>41</v>
      </c>
      <c r="B461" s="18" t="s">
        <v>4534</v>
      </c>
      <c r="C461" s="18" t="s">
        <v>4533</v>
      </c>
      <c r="D461" s="18">
        <v>5290</v>
      </c>
      <c r="E461" s="16" t="s">
        <v>6656</v>
      </c>
      <c r="F461" s="18" t="s">
        <v>4533</v>
      </c>
      <c r="G461" s="18" t="s">
        <v>113</v>
      </c>
      <c r="H461" s="15" t="s">
        <v>111</v>
      </c>
      <c r="AT461" s="17">
        <f>(365*D461*0.7)/1000</f>
        <v>1351.595</v>
      </c>
      <c r="AU461" s="17">
        <f t="shared" si="25"/>
        <v>0</v>
      </c>
      <c r="BW461" s="15">
        <f t="shared" si="26"/>
        <v>0</v>
      </c>
    </row>
    <row r="462" spans="1:158" ht="10.5" customHeight="1" x14ac:dyDescent="0.2">
      <c r="A462" s="18">
        <v>41</v>
      </c>
      <c r="B462" s="18" t="s">
        <v>4546</v>
      </c>
      <c r="C462" s="18" t="s">
        <v>4545</v>
      </c>
      <c r="D462" s="18">
        <v>6784</v>
      </c>
      <c r="E462" s="16" t="s">
        <v>6656</v>
      </c>
      <c r="F462" s="18" t="s">
        <v>4545</v>
      </c>
      <c r="G462" s="18" t="s">
        <v>106</v>
      </c>
      <c r="H462" s="15" t="s">
        <v>5127</v>
      </c>
      <c r="I462" s="18">
        <v>9</v>
      </c>
      <c r="J462" s="18">
        <v>5</v>
      </c>
      <c r="K462" s="18">
        <v>3</v>
      </c>
      <c r="L462" s="18">
        <v>1</v>
      </c>
      <c r="M462" s="18" t="s">
        <v>5183</v>
      </c>
      <c r="N462" s="18" t="s">
        <v>220</v>
      </c>
      <c r="T462" s="18" t="s">
        <v>5240</v>
      </c>
      <c r="U462" s="18" t="s">
        <v>5123</v>
      </c>
      <c r="V462" s="18" t="s">
        <v>113</v>
      </c>
      <c r="W462" s="18" t="s">
        <v>5124</v>
      </c>
      <c r="Y462" s="18" t="s">
        <v>5232</v>
      </c>
      <c r="Z462" s="18" t="s">
        <v>113</v>
      </c>
      <c r="AA462" s="18" t="s">
        <v>5163</v>
      </c>
      <c r="AB462" s="18" t="s">
        <v>179</v>
      </c>
      <c r="AC462" s="18" t="s">
        <v>111</v>
      </c>
      <c r="AD462" s="18" t="s">
        <v>111</v>
      </c>
      <c r="AE462" s="18" t="s">
        <v>111</v>
      </c>
      <c r="AF462" s="18" t="s">
        <v>111</v>
      </c>
      <c r="AG462" s="18" t="s">
        <v>5127</v>
      </c>
      <c r="AH462" s="18" t="s">
        <v>111</v>
      </c>
      <c r="AI462" s="18">
        <v>1</v>
      </c>
      <c r="AK462" s="18" t="s">
        <v>5164</v>
      </c>
      <c r="AN462" s="18">
        <v>300</v>
      </c>
      <c r="AO462" s="18" t="s">
        <v>5186</v>
      </c>
      <c r="AP462" s="18" t="s">
        <v>6562</v>
      </c>
      <c r="AQ462" s="18" t="s">
        <v>5711</v>
      </c>
      <c r="AR462" s="18" t="s">
        <v>5168</v>
      </c>
      <c r="AT462" s="17">
        <f>(365*D462*0.7)/1000</f>
        <v>1733.3119999999999</v>
      </c>
      <c r="AU462" s="17">
        <f t="shared" si="25"/>
        <v>0</v>
      </c>
      <c r="AV462" s="18">
        <v>0</v>
      </c>
      <c r="AW462" s="18">
        <v>0</v>
      </c>
      <c r="AY462" s="18" t="s">
        <v>164</v>
      </c>
      <c r="AZ462" s="18">
        <v>0</v>
      </c>
      <c r="BA462" s="18">
        <v>0</v>
      </c>
      <c r="BB462" s="18">
        <v>0</v>
      </c>
      <c r="BD462" s="18">
        <v>0</v>
      </c>
      <c r="BE462" s="18">
        <v>18</v>
      </c>
      <c r="BG462" s="18" t="s">
        <v>5133</v>
      </c>
      <c r="BH462" s="18">
        <v>0</v>
      </c>
      <c r="BI462" s="18">
        <v>0</v>
      </c>
      <c r="BJ462" s="18">
        <f>3360/1000</f>
        <v>3.36</v>
      </c>
      <c r="BQ462" s="18">
        <v>184</v>
      </c>
      <c r="BR462" s="18">
        <v>40</v>
      </c>
      <c r="BS462" s="18">
        <v>18</v>
      </c>
      <c r="BT462" s="18">
        <v>15</v>
      </c>
      <c r="BU462" s="18">
        <v>8</v>
      </c>
      <c r="BV462" s="18">
        <f>SUM(BQ462:BU462)</f>
        <v>265</v>
      </c>
      <c r="BW462" s="15">
        <f t="shared" si="26"/>
        <v>265</v>
      </c>
      <c r="BY462" s="18" t="s">
        <v>5134</v>
      </c>
      <c r="BZ462" s="18" t="s">
        <v>5240</v>
      </c>
      <c r="CD462" s="18" t="s">
        <v>5127</v>
      </c>
      <c r="CE462" s="18" t="s">
        <v>5127</v>
      </c>
      <c r="CF462" s="18" t="s">
        <v>5529</v>
      </c>
      <c r="CG462" s="18" t="s">
        <v>5679</v>
      </c>
      <c r="CH462" s="18" t="s">
        <v>6563</v>
      </c>
      <c r="CI462" s="18" t="s">
        <v>111</v>
      </c>
      <c r="CJ462" s="18" t="s">
        <v>5196</v>
      </c>
      <c r="CK462" s="18" t="s">
        <v>5336</v>
      </c>
      <c r="CL462" s="18">
        <v>2</v>
      </c>
      <c r="CM462" s="18">
        <v>0</v>
      </c>
      <c r="CN462" s="18">
        <v>0</v>
      </c>
      <c r="CO462" s="18">
        <v>1</v>
      </c>
      <c r="CP462" s="18">
        <v>2</v>
      </c>
      <c r="CQ462" s="18">
        <v>1</v>
      </c>
      <c r="CR462" s="18">
        <v>0</v>
      </c>
      <c r="CS462" s="18" t="s">
        <v>5141</v>
      </c>
      <c r="CT462" s="18">
        <v>0</v>
      </c>
      <c r="CU462" s="18">
        <v>1</v>
      </c>
      <c r="CV462" s="18" t="s">
        <v>5141</v>
      </c>
      <c r="CX462" s="18">
        <v>1</v>
      </c>
      <c r="CY462" s="18">
        <v>1</v>
      </c>
      <c r="CZ462" s="18">
        <v>2</v>
      </c>
      <c r="DA462" s="18">
        <v>2</v>
      </c>
      <c r="DB462" s="18">
        <v>1</v>
      </c>
      <c r="DC462" s="18">
        <v>1</v>
      </c>
      <c r="DD462" s="18">
        <v>1</v>
      </c>
      <c r="DE462" s="18">
        <v>0</v>
      </c>
      <c r="DF462" s="18" t="s">
        <v>5141</v>
      </c>
      <c r="DG462" s="18">
        <v>1</v>
      </c>
      <c r="DH462" s="18">
        <v>2</v>
      </c>
      <c r="DI462" s="18" t="s">
        <v>5141</v>
      </c>
      <c r="DK462" s="18">
        <v>0</v>
      </c>
      <c r="DL462" s="18">
        <v>1</v>
      </c>
      <c r="DM462" s="18" t="s">
        <v>5127</v>
      </c>
      <c r="DN462" s="18" t="s">
        <v>5172</v>
      </c>
      <c r="DO462" s="18" t="s">
        <v>5360</v>
      </c>
      <c r="DP462" s="18" t="s">
        <v>113</v>
      </c>
      <c r="DQ462" s="18" t="s">
        <v>5168</v>
      </c>
      <c r="DS462" s="18">
        <v>0</v>
      </c>
      <c r="DT462" s="18">
        <v>1</v>
      </c>
      <c r="DU462" s="18">
        <v>1</v>
      </c>
      <c r="DV462" s="18" t="s">
        <v>5342</v>
      </c>
      <c r="DX462" s="18" t="s">
        <v>5222</v>
      </c>
      <c r="DY462" s="18" t="s">
        <v>106</v>
      </c>
      <c r="DZ462" s="18" t="s">
        <v>113</v>
      </c>
      <c r="EA462" s="18" t="s">
        <v>5506</v>
      </c>
      <c r="EB462" s="18">
        <v>30</v>
      </c>
      <c r="EC462" s="18" t="s">
        <v>106</v>
      </c>
      <c r="ED462" s="18" t="s">
        <v>5147</v>
      </c>
      <c r="EE462" s="18" t="s">
        <v>106</v>
      </c>
      <c r="EF462" s="18" t="s">
        <v>106</v>
      </c>
      <c r="EG462" s="18" t="s">
        <v>5386</v>
      </c>
      <c r="EH462" s="18" t="s">
        <v>5203</v>
      </c>
      <c r="EI462" s="18" t="s">
        <v>5204</v>
      </c>
      <c r="EJ462" s="18" t="s">
        <v>5304</v>
      </c>
      <c r="EK462" s="18" t="s">
        <v>113</v>
      </c>
      <c r="EL462" s="18" t="s">
        <v>6564</v>
      </c>
      <c r="EM462" s="18" t="s">
        <v>5227</v>
      </c>
      <c r="EN462" s="18" t="s">
        <v>113</v>
      </c>
      <c r="EO462" s="18" t="s">
        <v>113</v>
      </c>
      <c r="EP462" s="18" t="s">
        <v>113</v>
      </c>
      <c r="EQ462" s="18" t="s">
        <v>113</v>
      </c>
      <c r="ER462" s="18" t="s">
        <v>5152</v>
      </c>
      <c r="ES462" s="18" t="s">
        <v>5153</v>
      </c>
      <c r="ET462" s="18" t="s">
        <v>5154</v>
      </c>
      <c r="EU462" s="18" t="s">
        <v>5318</v>
      </c>
      <c r="EV462" s="18" t="s">
        <v>179</v>
      </c>
      <c r="EW462" s="18" t="s">
        <v>5563</v>
      </c>
      <c r="EX462" s="18" t="s">
        <v>5158</v>
      </c>
      <c r="EY462" s="18" t="s">
        <v>5159</v>
      </c>
      <c r="EZ462" s="18" t="s">
        <v>5182</v>
      </c>
      <c r="FA462" s="18" t="s">
        <v>144</v>
      </c>
      <c r="FB462" s="18" t="s">
        <v>5161</v>
      </c>
    </row>
    <row r="463" spans="1:158" ht="10.5" customHeight="1" x14ac:dyDescent="0.2">
      <c r="A463" s="18">
        <v>41</v>
      </c>
      <c r="B463" s="18" t="s">
        <v>4758</v>
      </c>
      <c r="C463" s="18" t="s">
        <v>4759</v>
      </c>
      <c r="D463" s="18">
        <v>125785</v>
      </c>
      <c r="E463" s="16" t="s">
        <v>6657</v>
      </c>
      <c r="H463" s="15" t="s">
        <v>6661</v>
      </c>
      <c r="AT463" s="17">
        <f>(365*D463*0.7)/1000</f>
        <v>32138.067499999997</v>
      </c>
      <c r="AU463" s="17">
        <f t="shared" si="25"/>
        <v>0</v>
      </c>
      <c r="BW463" s="15">
        <f t="shared" si="26"/>
        <v>0</v>
      </c>
    </row>
    <row r="464" spans="1:158" ht="10.5" customHeight="1" x14ac:dyDescent="0.2">
      <c r="A464" s="18">
        <v>41</v>
      </c>
      <c r="B464" s="18" t="s">
        <v>2016</v>
      </c>
      <c r="C464" s="18" t="s">
        <v>2017</v>
      </c>
      <c r="D464" s="18">
        <v>6342</v>
      </c>
      <c r="E464" s="16" t="s">
        <v>6656</v>
      </c>
      <c r="H464" s="15" t="s">
        <v>6661</v>
      </c>
      <c r="AT464" s="17">
        <f>(365*D464*0.7)/1000</f>
        <v>1620.3810000000001</v>
      </c>
      <c r="AU464" s="17">
        <f t="shared" si="25"/>
        <v>0</v>
      </c>
      <c r="BW464" s="15">
        <f t="shared" si="26"/>
        <v>0</v>
      </c>
    </row>
    <row r="465" spans="1:158" ht="10.5" customHeight="1" x14ac:dyDescent="0.2">
      <c r="A465" s="18">
        <v>41</v>
      </c>
      <c r="B465" s="18" t="s">
        <v>3655</v>
      </c>
      <c r="C465" s="18" t="s">
        <v>3656</v>
      </c>
      <c r="D465" s="18">
        <v>17344</v>
      </c>
      <c r="E465" s="16" t="s">
        <v>6658</v>
      </c>
      <c r="F465" s="18" t="s">
        <v>3656</v>
      </c>
      <c r="G465" s="18" t="s">
        <v>106</v>
      </c>
      <c r="H465" s="15" t="s">
        <v>5127</v>
      </c>
      <c r="I465" s="18">
        <v>11</v>
      </c>
      <c r="J465" s="18">
        <v>5</v>
      </c>
      <c r="K465" s="18">
        <v>6</v>
      </c>
      <c r="L465" s="18">
        <v>0</v>
      </c>
      <c r="M465" s="18" t="s">
        <v>5183</v>
      </c>
      <c r="N465" s="18" t="s">
        <v>6565</v>
      </c>
      <c r="T465" s="18" t="s">
        <v>111</v>
      </c>
      <c r="U465" s="18" t="s">
        <v>5250</v>
      </c>
      <c r="V465" s="18" t="s">
        <v>106</v>
      </c>
      <c r="W465" s="18" t="s">
        <v>5211</v>
      </c>
      <c r="Y465" s="18" t="s">
        <v>5232</v>
      </c>
      <c r="Z465" s="18" t="s">
        <v>106</v>
      </c>
      <c r="AA465" s="18" t="s">
        <v>5163</v>
      </c>
      <c r="AB465" s="18" t="s">
        <v>179</v>
      </c>
      <c r="AC465" s="18" t="s">
        <v>5127</v>
      </c>
      <c r="AD465" s="18" t="s">
        <v>5127</v>
      </c>
      <c r="AE465" s="18" t="s">
        <v>5127</v>
      </c>
      <c r="AF465" s="18" t="s">
        <v>5127</v>
      </c>
      <c r="AG465" s="18" t="s">
        <v>5127</v>
      </c>
      <c r="AH465" s="18" t="s">
        <v>5127</v>
      </c>
      <c r="AI465" s="18">
        <v>1</v>
      </c>
      <c r="AK465" s="18" t="s">
        <v>5164</v>
      </c>
      <c r="AN465" s="18">
        <v>0</v>
      </c>
      <c r="AO465" s="18" t="s">
        <v>5391</v>
      </c>
      <c r="AP465" s="18" t="s">
        <v>6566</v>
      </c>
      <c r="AQ465" s="18" t="s">
        <v>5252</v>
      </c>
      <c r="AR465" s="18" t="s">
        <v>5132</v>
      </c>
      <c r="AT465" s="17">
        <f>(365*D465*0.7)/1000</f>
        <v>4431.3919999999998</v>
      </c>
      <c r="AU465" s="17">
        <f t="shared" si="25"/>
        <v>2.2377600000000002</v>
      </c>
      <c r="AV465" s="18">
        <f>2237760/1000000</f>
        <v>2.2377600000000002</v>
      </c>
      <c r="AW465" s="18">
        <v>0</v>
      </c>
      <c r="AY465" s="18" t="s">
        <v>6567</v>
      </c>
      <c r="AZ465" s="18">
        <v>30</v>
      </c>
      <c r="BA465" s="18">
        <f>6214/1000</f>
        <v>6.2140000000000004</v>
      </c>
      <c r="BB465" s="18">
        <v>1200</v>
      </c>
      <c r="BD465" s="18">
        <f>500/1000</f>
        <v>0.5</v>
      </c>
      <c r="BE465" s="18">
        <v>2000</v>
      </c>
      <c r="BG465" s="18" t="s">
        <v>6568</v>
      </c>
      <c r="BI465" s="18">
        <v>0</v>
      </c>
      <c r="BJ465" s="18">
        <v>0</v>
      </c>
      <c r="BQ465" s="18">
        <v>19</v>
      </c>
      <c r="BR465" s="18">
        <v>111</v>
      </c>
      <c r="BS465" s="18">
        <v>31</v>
      </c>
      <c r="BT465" s="18">
        <v>0</v>
      </c>
      <c r="BU465" s="18">
        <v>200</v>
      </c>
      <c r="BV465" s="18">
        <f>SUM(BQ465:BU465)</f>
        <v>361</v>
      </c>
      <c r="BW465" s="15">
        <f t="shared" si="26"/>
        <v>361</v>
      </c>
      <c r="BY465" s="18" t="s">
        <v>5239</v>
      </c>
      <c r="BZ465" s="18" t="s">
        <v>5312</v>
      </c>
      <c r="CD465" s="18" t="s">
        <v>5127</v>
      </c>
      <c r="CE465" s="18" t="s">
        <v>5127</v>
      </c>
      <c r="CF465" s="18" t="s">
        <v>5135</v>
      </c>
      <c r="CG465" s="18" t="s">
        <v>5298</v>
      </c>
      <c r="CH465" s="18" t="s">
        <v>111</v>
      </c>
      <c r="CI465" s="18" t="s">
        <v>5138</v>
      </c>
      <c r="CJ465" s="18" t="s">
        <v>5196</v>
      </c>
      <c r="CK465" s="18" t="s">
        <v>5171</v>
      </c>
      <c r="CL465" s="18">
        <v>2</v>
      </c>
      <c r="CM465" s="18">
        <v>0</v>
      </c>
      <c r="CN465" s="18">
        <v>0</v>
      </c>
      <c r="CO465" s="18">
        <v>1</v>
      </c>
      <c r="CP465" s="18">
        <v>0</v>
      </c>
      <c r="CQ465" s="18">
        <v>0</v>
      </c>
      <c r="CR465" s="18">
        <v>1</v>
      </c>
      <c r="CS465" s="18" t="s">
        <v>5141</v>
      </c>
      <c r="CT465" s="18">
        <v>1</v>
      </c>
      <c r="CU465" s="18">
        <v>0</v>
      </c>
      <c r="CV465" s="18">
        <v>1</v>
      </c>
      <c r="CX465" s="18">
        <v>1</v>
      </c>
      <c r="CY465" s="18">
        <v>1</v>
      </c>
      <c r="CZ465" s="18">
        <v>1</v>
      </c>
      <c r="DA465" s="18">
        <v>1</v>
      </c>
      <c r="DB465" s="18">
        <v>1</v>
      </c>
      <c r="DC465" s="18">
        <v>1</v>
      </c>
      <c r="DD465" s="18">
        <v>1</v>
      </c>
      <c r="DE465" s="18">
        <v>2</v>
      </c>
      <c r="DF465" s="18" t="s">
        <v>5141</v>
      </c>
      <c r="DG465" s="18">
        <v>1</v>
      </c>
      <c r="DH465" s="18">
        <v>1</v>
      </c>
      <c r="DI465" s="18">
        <v>1</v>
      </c>
      <c r="DK465" s="18">
        <v>1</v>
      </c>
      <c r="DL465" s="18">
        <v>1</v>
      </c>
      <c r="DM465" s="18" t="s">
        <v>5127</v>
      </c>
      <c r="DN465" s="18" t="s">
        <v>5314</v>
      </c>
      <c r="DO465" s="18" t="s">
        <v>5259</v>
      </c>
      <c r="DP465" s="18" t="s">
        <v>113</v>
      </c>
      <c r="DQ465" s="18" t="s">
        <v>5132</v>
      </c>
      <c r="DS465" s="18">
        <v>0</v>
      </c>
      <c r="DT465" s="18">
        <v>1</v>
      </c>
      <c r="DU465" s="18">
        <v>1</v>
      </c>
      <c r="DV465" s="18" t="s">
        <v>5666</v>
      </c>
      <c r="DX465" s="18" t="s">
        <v>5222</v>
      </c>
      <c r="DY465" s="18" t="s">
        <v>106</v>
      </c>
      <c r="DZ465" s="18" t="s">
        <v>113</v>
      </c>
      <c r="EA465" s="18" t="s">
        <v>5146</v>
      </c>
      <c r="EB465" s="18">
        <v>262299</v>
      </c>
      <c r="EC465" s="18" t="s">
        <v>113</v>
      </c>
      <c r="ED465" s="18" t="s">
        <v>5176</v>
      </c>
      <c r="EE465" s="18" t="s">
        <v>106</v>
      </c>
      <c r="EF465" s="18" t="s">
        <v>113</v>
      </c>
      <c r="EG465" s="18" t="s">
        <v>5148</v>
      </c>
      <c r="EH465" s="18" t="s">
        <v>5203</v>
      </c>
      <c r="EI465" s="18" t="s">
        <v>5204</v>
      </c>
      <c r="EJ465" s="18" t="s">
        <v>5287</v>
      </c>
      <c r="EK465" s="18" t="s">
        <v>113</v>
      </c>
      <c r="EL465" s="18" t="s">
        <v>6569</v>
      </c>
      <c r="EM465" s="18" t="s">
        <v>6570</v>
      </c>
      <c r="EN465" s="18" t="s">
        <v>113</v>
      </c>
      <c r="EO465" s="18" t="s">
        <v>113</v>
      </c>
      <c r="EP465" s="18" t="s">
        <v>113</v>
      </c>
      <c r="EQ465" s="18" t="s">
        <v>113</v>
      </c>
      <c r="ER465" s="18" t="s">
        <v>5155</v>
      </c>
      <c r="ES465" s="18" t="s">
        <v>5558</v>
      </c>
      <c r="ET465" s="18" t="s">
        <v>5154</v>
      </c>
      <c r="EU465" s="18" t="s">
        <v>5318</v>
      </c>
      <c r="EV465" s="18" t="s">
        <v>5626</v>
      </c>
      <c r="EW465" s="18" t="s">
        <v>5563</v>
      </c>
      <c r="EX465" s="18" t="s">
        <v>5158</v>
      </c>
      <c r="EY465" s="18" t="s">
        <v>5229</v>
      </c>
      <c r="EZ465" s="18" t="s">
        <v>5160</v>
      </c>
      <c r="FA465" s="18" t="s">
        <v>144</v>
      </c>
      <c r="FB465" s="18" t="s">
        <v>5161</v>
      </c>
    </row>
    <row r="466" spans="1:158" ht="10.5" customHeight="1" x14ac:dyDescent="0.2">
      <c r="A466" s="18">
        <v>41</v>
      </c>
      <c r="B466" s="18" t="s">
        <v>4562</v>
      </c>
      <c r="C466" s="18" t="s">
        <v>4561</v>
      </c>
      <c r="D466" s="18">
        <v>5138</v>
      </c>
      <c r="E466" s="16" t="s">
        <v>6656</v>
      </c>
      <c r="F466" s="18" t="s">
        <v>4561</v>
      </c>
      <c r="G466" s="18" t="s">
        <v>106</v>
      </c>
      <c r="H466" s="15" t="s">
        <v>5127</v>
      </c>
      <c r="I466" s="18">
        <v>10</v>
      </c>
      <c r="J466" s="18">
        <v>3</v>
      </c>
      <c r="K466" s="18">
        <v>7</v>
      </c>
      <c r="L466" s="18">
        <v>0</v>
      </c>
      <c r="M466" s="18" t="s">
        <v>5230</v>
      </c>
      <c r="N466" s="18" t="s">
        <v>6571</v>
      </c>
      <c r="O466" s="18">
        <v>46061</v>
      </c>
      <c r="T466" s="18" t="s">
        <v>5240</v>
      </c>
      <c r="U466" s="18" t="s">
        <v>5123</v>
      </c>
      <c r="V466" s="18" t="s">
        <v>106</v>
      </c>
      <c r="W466" s="18" t="s">
        <v>5211</v>
      </c>
      <c r="Y466" s="18" t="s">
        <v>5791</v>
      </c>
      <c r="Z466" s="18" t="s">
        <v>106</v>
      </c>
      <c r="AA466" s="18" t="s">
        <v>5163</v>
      </c>
      <c r="AB466" s="18" t="s">
        <v>179</v>
      </c>
      <c r="AC466" s="18" t="s">
        <v>5127</v>
      </c>
      <c r="AD466" s="18" t="s">
        <v>5127</v>
      </c>
      <c r="AE466" s="18" t="s">
        <v>5127</v>
      </c>
      <c r="AF466" s="18" t="s">
        <v>5127</v>
      </c>
      <c r="AG466" s="18" t="s">
        <v>5127</v>
      </c>
      <c r="AH466" s="18" t="s">
        <v>5127</v>
      </c>
      <c r="AI466" s="18">
        <v>1</v>
      </c>
      <c r="AK466" s="18" t="s">
        <v>5128</v>
      </c>
      <c r="AN466" s="18" t="s">
        <v>6572</v>
      </c>
      <c r="AO466" s="18" t="s">
        <v>6054</v>
      </c>
      <c r="AP466" s="18" t="s">
        <v>6573</v>
      </c>
      <c r="AQ466" s="18" t="s">
        <v>5711</v>
      </c>
      <c r="AR466" s="18" t="s">
        <v>5464</v>
      </c>
      <c r="AT466" s="17">
        <f>(365*D466*0.7)/1000</f>
        <v>1312.759</v>
      </c>
      <c r="AU466" s="17">
        <f t="shared" si="25"/>
        <v>487.77</v>
      </c>
      <c r="AV466" s="18">
        <v>487.77</v>
      </c>
      <c r="AW466" s="18">
        <v>0</v>
      </c>
      <c r="AY466" s="18" t="s">
        <v>5840</v>
      </c>
      <c r="BG466" s="18" t="s">
        <v>6574</v>
      </c>
      <c r="BH466" s="18">
        <f>120/1000</f>
        <v>0.12</v>
      </c>
      <c r="BQ466" s="18">
        <f>94353/1000</f>
        <v>94.352999999999994</v>
      </c>
      <c r="BR466" s="18">
        <f>77751/1000</f>
        <v>77.751000000000005</v>
      </c>
      <c r="BS466" s="18">
        <f>46899/1000</f>
        <v>46.899000000000001</v>
      </c>
      <c r="BT466" s="18">
        <f>61013/1000</f>
        <v>61.012999999999998</v>
      </c>
      <c r="BU466" s="18">
        <f>63443/1000</f>
        <v>63.442999999999998</v>
      </c>
      <c r="BV466" s="18">
        <f t="shared" ref="BV466:BV468" si="27">SUM(BQ466:BU466)</f>
        <v>343.45899999999995</v>
      </c>
      <c r="BW466" s="15">
        <f t="shared" si="26"/>
        <v>343.45899999999995</v>
      </c>
      <c r="BY466" s="18" t="s">
        <v>5134</v>
      </c>
      <c r="BZ466" s="18" t="s">
        <v>5312</v>
      </c>
      <c r="CD466" s="18" t="s">
        <v>5127</v>
      </c>
      <c r="CE466" s="18" t="s">
        <v>5127</v>
      </c>
      <c r="CF466" s="18" t="s">
        <v>5282</v>
      </c>
      <c r="CG466" s="18" t="s">
        <v>5376</v>
      </c>
      <c r="CH466" s="18" t="s">
        <v>5241</v>
      </c>
      <c r="CI466" s="18" t="s">
        <v>5138</v>
      </c>
      <c r="CJ466" s="18" t="s">
        <v>5636</v>
      </c>
      <c r="CK466" s="18" t="s">
        <v>5197</v>
      </c>
      <c r="CL466" s="18">
        <v>2</v>
      </c>
      <c r="CM466" s="18">
        <v>1</v>
      </c>
      <c r="CN466" s="18">
        <v>0</v>
      </c>
      <c r="CO466" s="18">
        <v>2</v>
      </c>
      <c r="CP466" s="18">
        <v>0</v>
      </c>
      <c r="CQ466" s="18">
        <v>1</v>
      </c>
      <c r="CR466" s="18">
        <v>0</v>
      </c>
      <c r="CS466" s="18" t="s">
        <v>5141</v>
      </c>
      <c r="CT466" s="18">
        <v>1</v>
      </c>
      <c r="CU466" s="18">
        <v>0</v>
      </c>
      <c r="CV466" s="18" t="s">
        <v>5141</v>
      </c>
      <c r="CX466" s="18">
        <v>1</v>
      </c>
      <c r="CY466" s="18">
        <v>1</v>
      </c>
      <c r="CZ466" s="18">
        <v>0</v>
      </c>
      <c r="DA466" s="18">
        <v>1</v>
      </c>
      <c r="DB466" s="18">
        <v>1</v>
      </c>
      <c r="DC466" s="18">
        <v>1</v>
      </c>
      <c r="DD466" s="18">
        <v>1</v>
      </c>
      <c r="DE466" s="18">
        <v>0</v>
      </c>
      <c r="DF466" s="18">
        <v>0</v>
      </c>
      <c r="DG466" s="18">
        <v>0</v>
      </c>
      <c r="DH466" s="18">
        <v>0</v>
      </c>
      <c r="DI466" s="18">
        <v>0</v>
      </c>
      <c r="DK466" s="18">
        <v>0</v>
      </c>
      <c r="DL466" s="18">
        <v>1</v>
      </c>
      <c r="DM466" s="18" t="s">
        <v>5127</v>
      </c>
      <c r="DN466" s="18" t="s">
        <v>6575</v>
      </c>
      <c r="DO466" s="18" t="s">
        <v>5742</v>
      </c>
      <c r="DP466" s="18" t="s">
        <v>113</v>
      </c>
      <c r="DQ466" s="18" t="s">
        <v>5464</v>
      </c>
      <c r="DS466" s="18">
        <v>0</v>
      </c>
      <c r="DT466" s="18">
        <v>1</v>
      </c>
      <c r="DU466" s="18">
        <v>0</v>
      </c>
      <c r="DV466" s="18" t="s">
        <v>5958</v>
      </c>
      <c r="DX466" s="18" t="s">
        <v>5201</v>
      </c>
      <c r="DY466" s="18" t="s">
        <v>106</v>
      </c>
      <c r="DZ466" s="18" t="s">
        <v>113</v>
      </c>
      <c r="EA466" s="18" t="s">
        <v>5285</v>
      </c>
      <c r="EB466" s="18" t="s">
        <v>6576</v>
      </c>
      <c r="EC466" s="18" t="s">
        <v>106</v>
      </c>
      <c r="ED466" s="18" t="s">
        <v>5176</v>
      </c>
      <c r="EE466" s="18" t="s">
        <v>113</v>
      </c>
      <c r="EF466" s="18" t="s">
        <v>113</v>
      </c>
      <c r="EG466" s="18" t="s">
        <v>5810</v>
      </c>
      <c r="EH466" s="18" t="s">
        <v>5203</v>
      </c>
      <c r="EI466" s="18" t="s">
        <v>5204</v>
      </c>
      <c r="EJ466" s="18" t="s">
        <v>5445</v>
      </c>
      <c r="EK466" s="18" t="s">
        <v>5362</v>
      </c>
      <c r="EM466" s="18" t="s">
        <v>5227</v>
      </c>
      <c r="EN466" s="18" t="s">
        <v>113</v>
      </c>
      <c r="EO466" s="18" t="s">
        <v>113</v>
      </c>
      <c r="EP466" s="18" t="s">
        <v>113</v>
      </c>
      <c r="EQ466" s="18" t="s">
        <v>113</v>
      </c>
      <c r="ER466" s="18" t="s">
        <v>5206</v>
      </c>
      <c r="ES466" s="18" t="s">
        <v>5153</v>
      </c>
      <c r="ET466" s="18" t="s">
        <v>5154</v>
      </c>
      <c r="EU466" s="18" t="s">
        <v>5155</v>
      </c>
      <c r="EV466" s="18" t="s">
        <v>5469</v>
      </c>
      <c r="EW466" s="18" t="s">
        <v>6577</v>
      </c>
      <c r="EX466" s="18" t="s">
        <v>5158</v>
      </c>
      <c r="EY466" s="18" t="s">
        <v>5229</v>
      </c>
      <c r="EZ466" s="18" t="s">
        <v>5160</v>
      </c>
      <c r="FA466" s="18" t="s">
        <v>144</v>
      </c>
      <c r="FB466" s="18" t="s">
        <v>5161</v>
      </c>
    </row>
    <row r="467" spans="1:158" ht="10.5" customHeight="1" x14ac:dyDescent="0.2">
      <c r="A467" s="18">
        <v>41</v>
      </c>
      <c r="B467" s="18" t="s">
        <v>4580</v>
      </c>
      <c r="C467" s="18" t="s">
        <v>4579</v>
      </c>
      <c r="D467" s="18">
        <v>5667</v>
      </c>
      <c r="E467" s="16" t="s">
        <v>6656</v>
      </c>
      <c r="F467" s="18" t="s">
        <v>4579</v>
      </c>
      <c r="G467" s="18" t="s">
        <v>106</v>
      </c>
      <c r="H467" s="15" t="s">
        <v>5127</v>
      </c>
      <c r="I467" s="18">
        <v>15</v>
      </c>
      <c r="J467" s="18">
        <v>9</v>
      </c>
      <c r="K467" s="18">
        <v>6</v>
      </c>
      <c r="L467" s="18">
        <v>0</v>
      </c>
      <c r="M467" s="18" t="s">
        <v>5121</v>
      </c>
      <c r="N467" s="18" t="s">
        <v>6578</v>
      </c>
      <c r="O467" s="18">
        <v>45854</v>
      </c>
      <c r="T467" s="18" t="s">
        <v>111</v>
      </c>
      <c r="U467" s="18" t="s">
        <v>5250</v>
      </c>
      <c r="V467" s="18" t="s">
        <v>106</v>
      </c>
      <c r="W467" s="18" t="s">
        <v>5211</v>
      </c>
      <c r="Y467" s="18" t="s">
        <v>5162</v>
      </c>
      <c r="Z467" s="18" t="s">
        <v>106</v>
      </c>
      <c r="AA467" s="18" t="s">
        <v>5163</v>
      </c>
      <c r="AB467" s="18" t="s">
        <v>179</v>
      </c>
      <c r="AC467" s="18" t="s">
        <v>5127</v>
      </c>
      <c r="AD467" s="18" t="s">
        <v>5127</v>
      </c>
      <c r="AE467" s="18" t="s">
        <v>5127</v>
      </c>
      <c r="AF467" s="18" t="s">
        <v>111</v>
      </c>
      <c r="AG467" s="18" t="s">
        <v>5127</v>
      </c>
      <c r="AH467" s="18" t="s">
        <v>111</v>
      </c>
      <c r="AI467" s="18">
        <v>0</v>
      </c>
      <c r="AK467" s="18" t="s">
        <v>5164</v>
      </c>
      <c r="AN467" s="18">
        <v>285</v>
      </c>
      <c r="AO467" s="18" t="s">
        <v>5129</v>
      </c>
      <c r="AP467" s="18" t="s">
        <v>5456</v>
      </c>
      <c r="AQ467" s="18" t="s">
        <v>5252</v>
      </c>
      <c r="AR467" s="18" t="s">
        <v>179</v>
      </c>
      <c r="AT467" s="17">
        <f>(365*D467*0.7)/1000</f>
        <v>1447.9185</v>
      </c>
      <c r="AU467" s="17">
        <f t="shared" si="25"/>
        <v>1</v>
      </c>
      <c r="AV467" s="18">
        <v>1</v>
      </c>
      <c r="AW467" s="18">
        <v>0</v>
      </c>
      <c r="AY467" s="18" t="s">
        <v>164</v>
      </c>
      <c r="BG467" s="18" t="s">
        <v>5663</v>
      </c>
      <c r="BQ467" s="18">
        <v>123</v>
      </c>
      <c r="BR467" s="18">
        <v>72</v>
      </c>
      <c r="BS467" s="18">
        <v>56</v>
      </c>
      <c r="BT467" s="18">
        <v>60</v>
      </c>
      <c r="BU467" s="18">
        <v>35</v>
      </c>
      <c r="BV467" s="18">
        <f t="shared" si="27"/>
        <v>346</v>
      </c>
      <c r="BW467" s="15">
        <f t="shared" si="26"/>
        <v>346</v>
      </c>
      <c r="BY467" s="18" t="s">
        <v>5134</v>
      </c>
      <c r="BZ467" s="18" t="s">
        <v>5395</v>
      </c>
      <c r="CD467" s="18" t="s">
        <v>5127</v>
      </c>
      <c r="CE467" s="18" t="s">
        <v>5127</v>
      </c>
      <c r="CF467" s="18" t="s">
        <v>5135</v>
      </c>
      <c r="CG467" s="18" t="s">
        <v>6283</v>
      </c>
      <c r="CH467" s="18" t="s">
        <v>5241</v>
      </c>
      <c r="CI467" s="18" t="s">
        <v>5195</v>
      </c>
      <c r="CJ467" s="18" t="s">
        <v>5196</v>
      </c>
      <c r="CK467" s="18" t="s">
        <v>5341</v>
      </c>
      <c r="CL467" s="18">
        <v>1</v>
      </c>
      <c r="CM467" s="18">
        <v>0</v>
      </c>
      <c r="CN467" s="18">
        <v>2</v>
      </c>
      <c r="CO467" s="18">
        <v>0</v>
      </c>
      <c r="CP467" s="18">
        <v>2</v>
      </c>
      <c r="CQ467" s="18">
        <v>1</v>
      </c>
      <c r="CR467" s="18">
        <v>3</v>
      </c>
      <c r="CS467" s="18" t="s">
        <v>5141</v>
      </c>
      <c r="CT467" s="18">
        <v>0</v>
      </c>
      <c r="CU467" s="18">
        <v>0</v>
      </c>
      <c r="CV467" s="18">
        <v>0</v>
      </c>
      <c r="CX467" s="18">
        <v>1</v>
      </c>
      <c r="CY467" s="18">
        <v>1</v>
      </c>
      <c r="CZ467" s="18">
        <v>0</v>
      </c>
      <c r="DA467" s="18">
        <v>0</v>
      </c>
      <c r="DB467" s="18">
        <v>1</v>
      </c>
      <c r="DC467" s="18">
        <v>1</v>
      </c>
      <c r="DD467" s="18">
        <v>0</v>
      </c>
      <c r="DE467" s="18">
        <v>0</v>
      </c>
      <c r="DF467" s="18" t="s">
        <v>5141</v>
      </c>
      <c r="DG467" s="18">
        <v>0</v>
      </c>
      <c r="DH467" s="18">
        <v>1</v>
      </c>
      <c r="DI467" s="18">
        <v>0</v>
      </c>
      <c r="DK467" s="18">
        <v>0</v>
      </c>
      <c r="DL467" s="18">
        <v>0</v>
      </c>
      <c r="DM467" s="18" t="s">
        <v>5127</v>
      </c>
      <c r="DN467" s="18" t="s">
        <v>5299</v>
      </c>
      <c r="DO467" s="18" t="s">
        <v>5259</v>
      </c>
      <c r="DP467" s="18" t="s">
        <v>106</v>
      </c>
      <c r="DQ467" s="18" t="s">
        <v>179</v>
      </c>
      <c r="DS467" s="18">
        <v>0.1</v>
      </c>
      <c r="DT467" s="18">
        <v>0</v>
      </c>
      <c r="DU467" s="18">
        <v>1</v>
      </c>
      <c r="DV467" s="18" t="s">
        <v>5342</v>
      </c>
      <c r="DX467" s="18" t="s">
        <v>5201</v>
      </c>
      <c r="DY467" s="18" t="s">
        <v>106</v>
      </c>
      <c r="DZ467" s="18" t="s">
        <v>106</v>
      </c>
      <c r="EA467" s="18" t="s">
        <v>6064</v>
      </c>
      <c r="EB467" s="18">
        <v>270</v>
      </c>
      <c r="EC467" s="18" t="s">
        <v>106</v>
      </c>
      <c r="ED467" s="18" t="s">
        <v>5147</v>
      </c>
      <c r="EE467" s="18" t="s">
        <v>106</v>
      </c>
      <c r="EF467" s="18" t="s">
        <v>106</v>
      </c>
      <c r="EG467" s="18" t="s">
        <v>5148</v>
      </c>
      <c r="EH467" s="18" t="s">
        <v>5203</v>
      </c>
      <c r="EI467" s="18" t="s">
        <v>5204</v>
      </c>
      <c r="EJ467" s="18" t="s">
        <v>6014</v>
      </c>
      <c r="EK467" s="18" t="s">
        <v>113</v>
      </c>
      <c r="EL467" s="18" t="s">
        <v>5879</v>
      </c>
      <c r="EM467" s="18" t="s">
        <v>6579</v>
      </c>
      <c r="EN467" s="18" t="s">
        <v>113</v>
      </c>
      <c r="EO467" s="18" t="s">
        <v>113</v>
      </c>
      <c r="EP467" s="18" t="s">
        <v>113</v>
      </c>
      <c r="EQ467" s="18" t="s">
        <v>113</v>
      </c>
      <c r="ER467" s="18" t="s">
        <v>5152</v>
      </c>
      <c r="ES467" s="18" t="s">
        <v>5153</v>
      </c>
      <c r="ET467" s="18" t="s">
        <v>5154</v>
      </c>
      <c r="EU467" s="18" t="s">
        <v>5328</v>
      </c>
      <c r="EV467" s="18" t="s">
        <v>5489</v>
      </c>
      <c r="EW467" s="18" t="s">
        <v>6580</v>
      </c>
      <c r="EX467" s="18" t="s">
        <v>5158</v>
      </c>
      <c r="EY467" s="18" t="s">
        <v>6102</v>
      </c>
      <c r="EZ467" s="18" t="s">
        <v>5182</v>
      </c>
      <c r="FA467" s="18" t="s">
        <v>144</v>
      </c>
      <c r="FB467" s="18" t="s">
        <v>5161</v>
      </c>
    </row>
    <row r="468" spans="1:158" ht="10.5" customHeight="1" x14ac:dyDescent="0.2">
      <c r="A468" s="18">
        <v>41</v>
      </c>
      <c r="B468" s="18" t="s">
        <v>4597</v>
      </c>
      <c r="C468" s="18" t="s">
        <v>4596</v>
      </c>
      <c r="D468" s="18">
        <v>16183</v>
      </c>
      <c r="E468" s="16" t="s">
        <v>6658</v>
      </c>
      <c r="F468" s="18" t="s">
        <v>4596</v>
      </c>
      <c r="G468" s="18" t="s">
        <v>106</v>
      </c>
      <c r="H468" s="15" t="s">
        <v>5127</v>
      </c>
      <c r="I468" s="18">
        <v>17</v>
      </c>
      <c r="J468" s="18">
        <v>12</v>
      </c>
      <c r="K468" s="18" t="s">
        <v>2511</v>
      </c>
      <c r="L468" s="18">
        <v>0</v>
      </c>
      <c r="M468" s="18" t="s">
        <v>5183</v>
      </c>
      <c r="N468" s="18">
        <v>305292</v>
      </c>
      <c r="O468" s="18">
        <v>47010</v>
      </c>
      <c r="T468" s="18" t="s">
        <v>111</v>
      </c>
      <c r="U468" s="18" t="s">
        <v>5123</v>
      </c>
      <c r="V468" s="18" t="s">
        <v>106</v>
      </c>
      <c r="W468" s="18" t="s">
        <v>5124</v>
      </c>
      <c r="Y468" s="18" t="s">
        <v>5212</v>
      </c>
      <c r="Z468" s="18" t="s">
        <v>106</v>
      </c>
      <c r="AA468" s="18" t="s">
        <v>5163</v>
      </c>
      <c r="AB468" s="18" t="s">
        <v>5233</v>
      </c>
      <c r="AC468" s="18" t="s">
        <v>5127</v>
      </c>
      <c r="AD468" s="18" t="s">
        <v>5127</v>
      </c>
      <c r="AE468" s="18" t="s">
        <v>5127</v>
      </c>
      <c r="AF468" s="18" t="s">
        <v>5127</v>
      </c>
      <c r="AG468" s="18" t="s">
        <v>5127</v>
      </c>
      <c r="AH468" s="18" t="s">
        <v>5127</v>
      </c>
      <c r="AI468" s="18">
        <v>0</v>
      </c>
      <c r="AK468" s="18" t="s">
        <v>5164</v>
      </c>
      <c r="AN468" s="18">
        <v>10800</v>
      </c>
      <c r="AO468" s="18" t="s">
        <v>5129</v>
      </c>
      <c r="AP468" s="18" t="s">
        <v>6581</v>
      </c>
      <c r="AQ468" s="18" t="s">
        <v>5393</v>
      </c>
      <c r="AR468" s="18" t="s">
        <v>5221</v>
      </c>
      <c r="AT468" s="17">
        <f>(365*D468*0.7)/1000</f>
        <v>4134.7564999999995</v>
      </c>
      <c r="AU468" s="17">
        <f t="shared" si="25"/>
        <v>600</v>
      </c>
      <c r="AV468" s="18">
        <v>600</v>
      </c>
      <c r="AW468" s="18">
        <v>0</v>
      </c>
      <c r="AY468" s="18" t="s">
        <v>439</v>
      </c>
      <c r="AZ468" s="18">
        <v>0</v>
      </c>
      <c r="BA468" s="18">
        <v>0</v>
      </c>
      <c r="BB468" s="18">
        <v>0</v>
      </c>
      <c r="BD468" s="18">
        <v>0</v>
      </c>
      <c r="BE468" s="18">
        <v>0</v>
      </c>
      <c r="BG468" s="18" t="s">
        <v>5418</v>
      </c>
      <c r="BH468" s="18">
        <v>30</v>
      </c>
      <c r="BI468" s="18">
        <v>0</v>
      </c>
      <c r="BJ468" s="18">
        <v>0</v>
      </c>
      <c r="BQ468" s="18">
        <f>28910/1000</f>
        <v>28.91</v>
      </c>
      <c r="BR468" s="18">
        <f>862.4</f>
        <v>862.4</v>
      </c>
      <c r="BS468" s="18">
        <f>253</f>
        <v>253</v>
      </c>
      <c r="BT468" s="18">
        <f>121.8</f>
        <v>121.8</v>
      </c>
      <c r="BU468" s="18">
        <v>0</v>
      </c>
      <c r="BV468" s="18">
        <f t="shared" si="27"/>
        <v>1266.1099999999999</v>
      </c>
      <c r="BW468" s="15">
        <f t="shared" si="26"/>
        <v>1266.1099999999999</v>
      </c>
      <c r="BY468" s="18" t="s">
        <v>5134</v>
      </c>
      <c r="BZ468" s="18" t="s">
        <v>5312</v>
      </c>
      <c r="CD468" s="18" t="s">
        <v>5127</v>
      </c>
      <c r="CE468" s="18" t="s">
        <v>5127</v>
      </c>
      <c r="CF468" s="18" t="s">
        <v>5135</v>
      </c>
      <c r="CG468" s="18" t="s">
        <v>5804</v>
      </c>
      <c r="CH468" s="18" t="s">
        <v>5241</v>
      </c>
      <c r="CI468" s="18" t="s">
        <v>5138</v>
      </c>
      <c r="CJ468" s="18" t="s">
        <v>5196</v>
      </c>
      <c r="CK468" s="18" t="s">
        <v>5197</v>
      </c>
      <c r="CL468" s="18">
        <v>2</v>
      </c>
      <c r="CM468" s="18">
        <v>0</v>
      </c>
      <c r="CN468" s="18">
        <v>0</v>
      </c>
      <c r="CO468" s="18">
        <v>0</v>
      </c>
      <c r="CP468" s="18">
        <v>1</v>
      </c>
      <c r="CQ468" s="18">
        <v>1</v>
      </c>
      <c r="CR468" s="18">
        <v>0</v>
      </c>
      <c r="CS468" s="18" t="s">
        <v>5257</v>
      </c>
      <c r="CT468" s="18">
        <v>0</v>
      </c>
      <c r="CU468" s="18">
        <v>0</v>
      </c>
      <c r="CV468" s="18">
        <v>0</v>
      </c>
      <c r="CX468" s="18">
        <v>0</v>
      </c>
      <c r="CY468" s="18">
        <v>1</v>
      </c>
      <c r="CZ468" s="18">
        <v>0</v>
      </c>
      <c r="DA468" s="18">
        <v>0</v>
      </c>
      <c r="DB468" s="18">
        <v>0</v>
      </c>
      <c r="DC468" s="18">
        <v>1</v>
      </c>
      <c r="DD468" s="18">
        <v>1</v>
      </c>
      <c r="DE468" s="18">
        <v>0</v>
      </c>
      <c r="DF468" s="18" t="s">
        <v>5141</v>
      </c>
      <c r="DG468" s="18">
        <v>0</v>
      </c>
      <c r="DH468" s="18">
        <v>0</v>
      </c>
      <c r="DI468" s="18">
        <v>0</v>
      </c>
      <c r="DK468" s="18">
        <v>0</v>
      </c>
      <c r="DL468" s="18">
        <v>0</v>
      </c>
      <c r="DM468" s="18" t="s">
        <v>5127</v>
      </c>
      <c r="DN468" s="18" t="s">
        <v>5314</v>
      </c>
      <c r="DO468" s="18" t="s">
        <v>5143</v>
      </c>
      <c r="DP468" s="18" t="s">
        <v>113</v>
      </c>
      <c r="DQ468" s="18" t="s">
        <v>5221</v>
      </c>
      <c r="DS468" s="18">
        <v>0</v>
      </c>
      <c r="DT468" s="18">
        <v>1</v>
      </c>
      <c r="DU468" s="18">
        <v>1</v>
      </c>
      <c r="DV468" s="18" t="s">
        <v>5342</v>
      </c>
      <c r="DX468" s="18" t="s">
        <v>5201</v>
      </c>
      <c r="DY468" s="18" t="s">
        <v>106</v>
      </c>
      <c r="DZ468" s="18" t="s">
        <v>113</v>
      </c>
      <c r="EA468" s="18" t="s">
        <v>5261</v>
      </c>
      <c r="EB468" s="18">
        <v>8640</v>
      </c>
      <c r="EC468" s="18" t="s">
        <v>106</v>
      </c>
      <c r="ED468" s="18" t="s">
        <v>5176</v>
      </c>
      <c r="EE468" s="18" t="s">
        <v>113</v>
      </c>
      <c r="EF468" s="18" t="s">
        <v>106</v>
      </c>
      <c r="EG468" s="18" t="s">
        <v>5148</v>
      </c>
      <c r="EH468" s="18" t="s">
        <v>5203</v>
      </c>
      <c r="EI468" s="18" t="s">
        <v>5204</v>
      </c>
      <c r="EJ468" s="18" t="s">
        <v>6014</v>
      </c>
      <c r="EK468" s="18" t="s">
        <v>113</v>
      </c>
      <c r="EM468" s="18" t="s">
        <v>5227</v>
      </c>
      <c r="EN468" s="18" t="s">
        <v>113</v>
      </c>
      <c r="EO468" s="18" t="s">
        <v>113</v>
      </c>
      <c r="EP468" s="18" t="s">
        <v>106</v>
      </c>
      <c r="EQ468" s="18" t="s">
        <v>106</v>
      </c>
      <c r="ER468" s="18" t="s">
        <v>5152</v>
      </c>
      <c r="ES468" s="18" t="s">
        <v>5153</v>
      </c>
      <c r="ET468" s="18" t="s">
        <v>5154</v>
      </c>
      <c r="EU468" s="18" t="s">
        <v>5318</v>
      </c>
      <c r="EV468" s="18" t="s">
        <v>6582</v>
      </c>
      <c r="EW468" s="18" t="s">
        <v>5291</v>
      </c>
      <c r="EX468" s="18" t="s">
        <v>5158</v>
      </c>
      <c r="EY468" s="18" t="s">
        <v>5229</v>
      </c>
      <c r="EZ468" s="18" t="s">
        <v>5160</v>
      </c>
      <c r="FA468" s="18" t="s">
        <v>144</v>
      </c>
      <c r="FB468" s="18" t="s">
        <v>5161</v>
      </c>
    </row>
    <row r="469" spans="1:158" ht="10.5" customHeight="1" x14ac:dyDescent="0.2">
      <c r="A469" s="18">
        <v>41</v>
      </c>
      <c r="B469" s="18" t="s">
        <v>3914</v>
      </c>
      <c r="C469" s="18" t="s">
        <v>3915</v>
      </c>
      <c r="D469" s="18">
        <v>23712</v>
      </c>
      <c r="E469" s="16" t="s">
        <v>6658</v>
      </c>
      <c r="H469" s="15" t="s">
        <v>6661</v>
      </c>
      <c r="AT469" s="17">
        <f>(365*D469*0.7)/1000</f>
        <v>6058.4160000000002</v>
      </c>
      <c r="AU469" s="17">
        <f t="shared" si="25"/>
        <v>0</v>
      </c>
      <c r="BW469" s="15">
        <f t="shared" si="26"/>
        <v>0</v>
      </c>
    </row>
    <row r="470" spans="1:158" ht="10.5" customHeight="1" x14ac:dyDescent="0.2">
      <c r="A470" s="18">
        <v>41</v>
      </c>
      <c r="B470" s="18" t="s">
        <v>4606</v>
      </c>
      <c r="C470" s="18" t="s">
        <v>4605</v>
      </c>
      <c r="D470" s="18">
        <v>3495</v>
      </c>
      <c r="E470" s="16" t="s">
        <v>6656</v>
      </c>
      <c r="F470" s="18" t="s">
        <v>4605</v>
      </c>
      <c r="G470" s="18" t="s">
        <v>113</v>
      </c>
      <c r="H470" s="15" t="s">
        <v>111</v>
      </c>
      <c r="AT470" s="17">
        <f>(365*D470*0.7)/1000</f>
        <v>892.97249999999997</v>
      </c>
      <c r="AU470" s="17">
        <f t="shared" si="25"/>
        <v>0</v>
      </c>
      <c r="BW470" s="15">
        <f t="shared" si="26"/>
        <v>0</v>
      </c>
    </row>
    <row r="471" spans="1:158" ht="10.5" customHeight="1" x14ac:dyDescent="0.2">
      <c r="A471" s="18">
        <v>41</v>
      </c>
      <c r="B471" s="18" t="s">
        <v>4617</v>
      </c>
      <c r="C471" s="18" t="s">
        <v>4616</v>
      </c>
      <c r="D471" s="18">
        <v>10645</v>
      </c>
      <c r="E471" s="16" t="s">
        <v>6656</v>
      </c>
      <c r="F471" s="18" t="s">
        <v>4616</v>
      </c>
      <c r="G471" s="18" t="s">
        <v>106</v>
      </c>
      <c r="H471" s="15" t="s">
        <v>5127</v>
      </c>
      <c r="I471" s="18">
        <v>12</v>
      </c>
      <c r="J471" s="18">
        <v>7</v>
      </c>
      <c r="K471" s="18">
        <v>5</v>
      </c>
      <c r="M471" s="18" t="s">
        <v>5183</v>
      </c>
      <c r="N471" s="18" t="s">
        <v>111</v>
      </c>
      <c r="T471" s="18" t="s">
        <v>111</v>
      </c>
      <c r="U471" s="18" t="s">
        <v>5250</v>
      </c>
      <c r="V471" s="18" t="s">
        <v>106</v>
      </c>
      <c r="W471" s="18" t="s">
        <v>5124</v>
      </c>
      <c r="Y471" s="18" t="s">
        <v>5232</v>
      </c>
      <c r="Z471" s="18" t="s">
        <v>113</v>
      </c>
      <c r="AA471" s="18" t="s">
        <v>5163</v>
      </c>
      <c r="AB471" s="18" t="s">
        <v>179</v>
      </c>
      <c r="AC471" s="18" t="s">
        <v>111</v>
      </c>
      <c r="AD471" s="18" t="s">
        <v>5127</v>
      </c>
      <c r="AE471" s="18" t="s">
        <v>5127</v>
      </c>
      <c r="AF471" s="18" t="s">
        <v>5127</v>
      </c>
      <c r="AG471" s="18" t="s">
        <v>5127</v>
      </c>
      <c r="AH471" s="18" t="s">
        <v>5127</v>
      </c>
      <c r="AI471" s="18">
        <v>1</v>
      </c>
      <c r="AK471" s="18" t="s">
        <v>5164</v>
      </c>
      <c r="AN471" s="18">
        <v>700</v>
      </c>
      <c r="AO471" s="18" t="s">
        <v>5186</v>
      </c>
      <c r="AP471" s="18" t="s">
        <v>6583</v>
      </c>
      <c r="AQ471" s="18" t="s">
        <v>5252</v>
      </c>
      <c r="AR471" s="18" t="s">
        <v>179</v>
      </c>
      <c r="AT471" s="17">
        <f>(365*D471*0.7)/1000</f>
        <v>2719.7975000000001</v>
      </c>
      <c r="AU471" s="17">
        <f t="shared" si="25"/>
        <v>200</v>
      </c>
      <c r="AV471" s="18">
        <v>200</v>
      </c>
      <c r="AW471" s="18">
        <v>0</v>
      </c>
      <c r="AY471" s="18" t="s">
        <v>439</v>
      </c>
      <c r="BG471" s="18" t="s">
        <v>5281</v>
      </c>
      <c r="BQ471" s="18">
        <v>80</v>
      </c>
      <c r="BR471" s="18">
        <v>80</v>
      </c>
      <c r="BS471" s="18">
        <v>80</v>
      </c>
      <c r="BT471" s="18">
        <v>80</v>
      </c>
      <c r="BU471" s="18">
        <v>100</v>
      </c>
      <c r="BV471" s="18">
        <v>500</v>
      </c>
      <c r="BW471" s="15">
        <f t="shared" si="26"/>
        <v>420</v>
      </c>
      <c r="BY471" s="18" t="s">
        <v>5134</v>
      </c>
      <c r="BZ471" s="18" t="s">
        <v>5240</v>
      </c>
      <c r="CD471" s="18" t="s">
        <v>5127</v>
      </c>
      <c r="CE471" s="18" t="s">
        <v>5127</v>
      </c>
      <c r="CF471" s="18" t="s">
        <v>5135</v>
      </c>
      <c r="CG471" s="18" t="s">
        <v>5298</v>
      </c>
      <c r="CH471" s="18" t="s">
        <v>111</v>
      </c>
      <c r="CI471" s="18" t="s">
        <v>5195</v>
      </c>
      <c r="CJ471" s="18" t="s">
        <v>5196</v>
      </c>
      <c r="CK471" s="18" t="s">
        <v>5197</v>
      </c>
      <c r="CL471" s="18">
        <v>1</v>
      </c>
      <c r="CM471" s="18">
        <v>0</v>
      </c>
      <c r="CN471" s="18">
        <v>0</v>
      </c>
      <c r="CO471" s="18">
        <v>1</v>
      </c>
      <c r="CP471" s="18">
        <v>1</v>
      </c>
      <c r="CQ471" s="18">
        <v>1</v>
      </c>
      <c r="CR471" s="18">
        <v>0</v>
      </c>
      <c r="CS471" s="18" t="s">
        <v>5141</v>
      </c>
      <c r="CT471" s="18">
        <v>0</v>
      </c>
      <c r="CU471" s="18">
        <v>1</v>
      </c>
      <c r="CV471" s="18">
        <v>1</v>
      </c>
      <c r="CX471" s="18">
        <v>1</v>
      </c>
      <c r="CY471" s="18">
        <v>1</v>
      </c>
      <c r="CZ471" s="18">
        <v>1</v>
      </c>
      <c r="DA471" s="18">
        <v>1</v>
      </c>
      <c r="DB471" s="18">
        <v>1</v>
      </c>
      <c r="DC471" s="18">
        <v>1</v>
      </c>
      <c r="DD471" s="18">
        <v>1</v>
      </c>
      <c r="DE471" s="18">
        <v>1</v>
      </c>
      <c r="DF471" s="18">
        <v>1</v>
      </c>
      <c r="DG471" s="18">
        <v>1</v>
      </c>
      <c r="DH471" s="18">
        <v>1</v>
      </c>
      <c r="DI471" s="18">
        <v>1</v>
      </c>
      <c r="DK471" s="18">
        <v>0</v>
      </c>
      <c r="DL471" s="18">
        <v>1</v>
      </c>
      <c r="DM471" s="18" t="s">
        <v>5127</v>
      </c>
      <c r="DN471" s="18" t="s">
        <v>5172</v>
      </c>
      <c r="DO471" s="18" t="s">
        <v>5259</v>
      </c>
      <c r="DP471" s="18" t="s">
        <v>113</v>
      </c>
      <c r="DS471" s="18">
        <v>0</v>
      </c>
      <c r="DT471" s="18">
        <v>0</v>
      </c>
      <c r="DU471" s="18">
        <v>1</v>
      </c>
      <c r="DV471" s="18" t="s">
        <v>5552</v>
      </c>
      <c r="DX471" s="18" t="s">
        <v>5145</v>
      </c>
      <c r="DY471" s="18" t="s">
        <v>106</v>
      </c>
      <c r="DZ471" s="18" t="s">
        <v>113</v>
      </c>
      <c r="EA471" s="18" t="s">
        <v>5285</v>
      </c>
      <c r="EB471" s="18">
        <v>500</v>
      </c>
      <c r="EC471" s="18" t="s">
        <v>106</v>
      </c>
      <c r="ED471" s="18" t="s">
        <v>5147</v>
      </c>
      <c r="EE471" s="18" t="s">
        <v>106</v>
      </c>
      <c r="EF471" s="18" t="s">
        <v>113</v>
      </c>
      <c r="EG471" s="18" t="s">
        <v>5148</v>
      </c>
      <c r="EH471" s="18" t="s">
        <v>5203</v>
      </c>
      <c r="EI471" s="18" t="s">
        <v>5204</v>
      </c>
      <c r="EJ471" s="18" t="s">
        <v>5412</v>
      </c>
      <c r="EK471" s="18" t="s">
        <v>113</v>
      </c>
      <c r="EN471" s="18" t="s">
        <v>113</v>
      </c>
      <c r="EO471" s="18" t="s">
        <v>113</v>
      </c>
      <c r="EP471" s="18" t="s">
        <v>113</v>
      </c>
      <c r="EQ471" s="18" t="s">
        <v>113</v>
      </c>
      <c r="ER471" s="18" t="s">
        <v>5206</v>
      </c>
      <c r="ES471" s="18" t="s">
        <v>5153</v>
      </c>
      <c r="ET471" s="18" t="s">
        <v>5154</v>
      </c>
      <c r="EU471" s="18" t="s">
        <v>5155</v>
      </c>
      <c r="EV471" s="18" t="s">
        <v>6584</v>
      </c>
      <c r="EW471" s="18" t="s">
        <v>5861</v>
      </c>
      <c r="EX471" s="18" t="s">
        <v>5158</v>
      </c>
      <c r="EY471" s="18" t="s">
        <v>5248</v>
      </c>
      <c r="EZ471" s="18" t="s">
        <v>5160</v>
      </c>
      <c r="FA471" s="18" t="s">
        <v>144</v>
      </c>
      <c r="FB471" s="18" t="s">
        <v>5161</v>
      </c>
    </row>
    <row r="472" spans="1:158" ht="10.5" customHeight="1" x14ac:dyDescent="0.2">
      <c r="A472" s="18">
        <v>41</v>
      </c>
      <c r="B472" s="18" t="s">
        <v>4628</v>
      </c>
      <c r="C472" s="18" t="s">
        <v>4627</v>
      </c>
      <c r="D472" s="18">
        <v>4979</v>
      </c>
      <c r="E472" s="16" t="s">
        <v>6656</v>
      </c>
      <c r="F472" s="18" t="s">
        <v>4627</v>
      </c>
      <c r="G472" s="18" t="s">
        <v>113</v>
      </c>
      <c r="H472" s="15" t="s">
        <v>111</v>
      </c>
      <c r="AT472" s="17">
        <f>(365*D472*0.7)/1000</f>
        <v>1272.1344999999999</v>
      </c>
      <c r="AU472" s="17">
        <f t="shared" si="25"/>
        <v>0</v>
      </c>
      <c r="BW472" s="15">
        <f t="shared" si="26"/>
        <v>0</v>
      </c>
    </row>
    <row r="473" spans="1:158" ht="10.5" customHeight="1" x14ac:dyDescent="0.2">
      <c r="A473" s="18">
        <v>41</v>
      </c>
      <c r="B473" s="18" t="s">
        <v>4628</v>
      </c>
      <c r="C473" s="18" t="s">
        <v>4627</v>
      </c>
      <c r="D473" s="18">
        <v>4979</v>
      </c>
      <c r="E473" s="16" t="s">
        <v>6656</v>
      </c>
      <c r="F473" s="18" t="s">
        <v>4627</v>
      </c>
      <c r="G473" s="18" t="s">
        <v>113</v>
      </c>
      <c r="H473" s="15" t="s">
        <v>111</v>
      </c>
      <c r="AT473" s="17">
        <f>(365*D473*0.7)/1000</f>
        <v>1272.1344999999999</v>
      </c>
      <c r="AU473" s="17">
        <f t="shared" si="25"/>
        <v>0</v>
      </c>
      <c r="BW473" s="15">
        <f t="shared" si="26"/>
        <v>0</v>
      </c>
    </row>
    <row r="474" spans="1:158" ht="10.5" customHeight="1" x14ac:dyDescent="0.2">
      <c r="A474" s="18">
        <v>41</v>
      </c>
      <c r="B474" s="18" t="s">
        <v>4640</v>
      </c>
      <c r="C474" s="18" t="s">
        <v>4639</v>
      </c>
      <c r="D474" s="18">
        <v>16255</v>
      </c>
      <c r="E474" s="16" t="s">
        <v>6658</v>
      </c>
      <c r="F474" s="18" t="s">
        <v>4639</v>
      </c>
      <c r="G474" s="18" t="s">
        <v>106</v>
      </c>
      <c r="H474" s="15" t="s">
        <v>5127</v>
      </c>
      <c r="I474" s="18">
        <v>10</v>
      </c>
      <c r="J474" s="18">
        <v>2</v>
      </c>
      <c r="K474" s="18">
        <v>8</v>
      </c>
      <c r="M474" s="18" t="s">
        <v>5183</v>
      </c>
      <c r="N474" s="18" t="s">
        <v>6585</v>
      </c>
      <c r="O474" s="18">
        <v>46220</v>
      </c>
      <c r="T474" s="18" t="s">
        <v>6586</v>
      </c>
      <c r="U474" s="18" t="s">
        <v>5185</v>
      </c>
      <c r="V474" s="18" t="s">
        <v>113</v>
      </c>
      <c r="W474" s="18" t="s">
        <v>5211</v>
      </c>
      <c r="Y474" s="18" t="s">
        <v>5656</v>
      </c>
      <c r="Z474" s="18" t="s">
        <v>106</v>
      </c>
      <c r="AA474" s="18" t="s">
        <v>5163</v>
      </c>
      <c r="AB474" s="18" t="s">
        <v>5213</v>
      </c>
      <c r="AC474" s="18" t="s">
        <v>5127</v>
      </c>
      <c r="AD474" s="18" t="s">
        <v>5127</v>
      </c>
      <c r="AE474" s="18" t="s">
        <v>111</v>
      </c>
      <c r="AF474" s="18" t="s">
        <v>5127</v>
      </c>
      <c r="AG474" s="18" t="s">
        <v>5127</v>
      </c>
      <c r="AH474" s="18" t="s">
        <v>111</v>
      </c>
      <c r="AI474" s="18">
        <v>1</v>
      </c>
      <c r="AK474" s="18" t="s">
        <v>5424</v>
      </c>
      <c r="AN474" s="18">
        <v>0</v>
      </c>
      <c r="AO474" s="18" t="s">
        <v>5165</v>
      </c>
      <c r="AP474" s="18" t="s">
        <v>6587</v>
      </c>
      <c r="AQ474" s="18" t="s">
        <v>5252</v>
      </c>
      <c r="AR474" s="18" t="s">
        <v>5355</v>
      </c>
      <c r="AT474" s="17">
        <f>(365*D474*0.7)/1000</f>
        <v>4153.1524999999992</v>
      </c>
      <c r="AU474" s="17">
        <f t="shared" si="25"/>
        <v>0</v>
      </c>
      <c r="AV474" s="18">
        <v>0</v>
      </c>
      <c r="AW474" s="18">
        <v>0</v>
      </c>
      <c r="AY474" s="18" t="s">
        <v>164</v>
      </c>
      <c r="BG474" s="18" t="s">
        <v>6506</v>
      </c>
      <c r="BQ474" s="18">
        <v>0</v>
      </c>
      <c r="BR474" s="18">
        <v>0</v>
      </c>
      <c r="BS474" s="18">
        <v>0</v>
      </c>
      <c r="BT474" s="18">
        <v>0</v>
      </c>
      <c r="BU474" s="18">
        <v>0</v>
      </c>
      <c r="BV474" s="18">
        <v>0</v>
      </c>
      <c r="BW474" s="15">
        <f t="shared" si="26"/>
        <v>0</v>
      </c>
      <c r="BY474" s="18" t="s">
        <v>5134</v>
      </c>
      <c r="BZ474" s="18" t="s">
        <v>5240</v>
      </c>
      <c r="CD474" s="18" t="s">
        <v>5127</v>
      </c>
      <c r="CE474" s="18" t="s">
        <v>5127</v>
      </c>
      <c r="CF474" s="18" t="s">
        <v>5135</v>
      </c>
      <c r="CG474" s="18" t="s">
        <v>6588</v>
      </c>
      <c r="CH474" s="18" t="s">
        <v>6589</v>
      </c>
      <c r="CI474" s="18" t="s">
        <v>5138</v>
      </c>
      <c r="CJ474" s="18" t="s">
        <v>5680</v>
      </c>
      <c r="CK474" s="18" t="s">
        <v>179</v>
      </c>
      <c r="CL474" s="18">
        <v>0</v>
      </c>
      <c r="CM474" s="18">
        <v>1</v>
      </c>
      <c r="CN474" s="18">
        <v>0</v>
      </c>
      <c r="CO474" s="18">
        <v>1</v>
      </c>
      <c r="CP474" s="18">
        <v>2</v>
      </c>
      <c r="CQ474" s="18">
        <v>1</v>
      </c>
      <c r="CR474" s="18" t="s">
        <v>5141</v>
      </c>
      <c r="CS474" s="18" t="s">
        <v>5141</v>
      </c>
      <c r="CT474" s="18">
        <v>0</v>
      </c>
      <c r="CU474" s="18">
        <v>0</v>
      </c>
      <c r="CV474" s="18">
        <v>1</v>
      </c>
      <c r="CX474" s="18">
        <v>2</v>
      </c>
      <c r="CY474" s="18">
        <v>2</v>
      </c>
      <c r="CZ474" s="18">
        <v>2</v>
      </c>
      <c r="DA474" s="18">
        <v>2</v>
      </c>
      <c r="DB474" s="18">
        <v>2</v>
      </c>
      <c r="DC474" s="18">
        <v>1</v>
      </c>
      <c r="DD474" s="18">
        <v>1</v>
      </c>
      <c r="DE474" s="18" t="s">
        <v>5141</v>
      </c>
      <c r="DF474" s="18" t="s">
        <v>5141</v>
      </c>
      <c r="DG474" s="18">
        <v>1</v>
      </c>
      <c r="DH474" s="18">
        <v>1</v>
      </c>
      <c r="DI474" s="18">
        <v>1</v>
      </c>
      <c r="DK474" s="18">
        <v>0</v>
      </c>
      <c r="DL474" s="18">
        <v>1</v>
      </c>
      <c r="DM474" s="18" t="s">
        <v>5127</v>
      </c>
      <c r="DN474" s="18" t="s">
        <v>5299</v>
      </c>
      <c r="DO474" s="18" t="s">
        <v>5259</v>
      </c>
      <c r="DP474" s="18" t="s">
        <v>106</v>
      </c>
      <c r="DQ474" s="18" t="s">
        <v>179</v>
      </c>
      <c r="DS474" s="18">
        <v>0</v>
      </c>
      <c r="DT474" s="18">
        <v>1</v>
      </c>
      <c r="DU474" s="18">
        <v>1</v>
      </c>
      <c r="DV474" s="18" t="s">
        <v>6558</v>
      </c>
      <c r="DX474" s="18" t="s">
        <v>5222</v>
      </c>
      <c r="DY474" s="18" t="s">
        <v>106</v>
      </c>
      <c r="DZ474" s="18" t="s">
        <v>113</v>
      </c>
      <c r="EA474" s="18" t="s">
        <v>5453</v>
      </c>
      <c r="EB474" s="18">
        <v>810</v>
      </c>
      <c r="EC474" s="18" t="s">
        <v>106</v>
      </c>
      <c r="ED474" s="18" t="s">
        <v>5147</v>
      </c>
      <c r="EG474" s="18" t="s">
        <v>5148</v>
      </c>
      <c r="EH474" s="18" t="s">
        <v>5203</v>
      </c>
      <c r="EI474" s="18" t="s">
        <v>5204</v>
      </c>
      <c r="EN474" s="18" t="s">
        <v>113</v>
      </c>
      <c r="EX474" s="18" t="s">
        <v>5158</v>
      </c>
      <c r="EY474" s="18" t="s">
        <v>5248</v>
      </c>
      <c r="EZ474" s="18" t="s">
        <v>5182</v>
      </c>
      <c r="FA474" s="18" t="s">
        <v>144</v>
      </c>
      <c r="FB474" s="18" t="s">
        <v>5161</v>
      </c>
    </row>
    <row r="475" spans="1:158" ht="10.5" customHeight="1" x14ac:dyDescent="0.2">
      <c r="A475" s="18">
        <v>41</v>
      </c>
      <c r="B475" s="18" t="s">
        <v>4650</v>
      </c>
      <c r="C475" s="18" t="s">
        <v>4649</v>
      </c>
      <c r="D475" s="18">
        <v>5813</v>
      </c>
      <c r="E475" s="16" t="s">
        <v>6656</v>
      </c>
      <c r="F475" s="18" t="s">
        <v>4649</v>
      </c>
      <c r="G475" s="18" t="s">
        <v>106</v>
      </c>
      <c r="H475" s="15" t="s">
        <v>5127</v>
      </c>
      <c r="I475" s="18" t="s">
        <v>4537</v>
      </c>
      <c r="J475" s="18" t="s">
        <v>692</v>
      </c>
      <c r="K475" s="18" t="s">
        <v>5330</v>
      </c>
      <c r="L475" s="18">
        <v>0</v>
      </c>
      <c r="M475" s="18" t="s">
        <v>5183</v>
      </c>
      <c r="N475" s="18" t="s">
        <v>6590</v>
      </c>
      <c r="O475" s="18">
        <v>46000</v>
      </c>
      <c r="T475" s="18" t="s">
        <v>111</v>
      </c>
      <c r="U475" s="18" t="s">
        <v>5250</v>
      </c>
      <c r="V475" s="18" t="s">
        <v>113</v>
      </c>
      <c r="W475" s="18" t="s">
        <v>5124</v>
      </c>
      <c r="Y475" s="18" t="s">
        <v>5162</v>
      </c>
      <c r="Z475" s="18" t="s">
        <v>106</v>
      </c>
      <c r="AA475" s="18" t="s">
        <v>5163</v>
      </c>
      <c r="AB475" s="18" t="s">
        <v>5213</v>
      </c>
      <c r="AC475" s="18" t="s">
        <v>5127</v>
      </c>
      <c r="AD475" s="18" t="s">
        <v>5127</v>
      </c>
      <c r="AE475" s="18" t="s">
        <v>5127</v>
      </c>
      <c r="AF475" s="18" t="s">
        <v>5127</v>
      </c>
      <c r="AG475" s="18" t="s">
        <v>5127</v>
      </c>
      <c r="AH475" s="18" t="s">
        <v>5127</v>
      </c>
      <c r="AI475" s="18">
        <v>1</v>
      </c>
      <c r="AK475" s="18" t="s">
        <v>5164</v>
      </c>
      <c r="AN475" s="18">
        <v>0</v>
      </c>
      <c r="AO475" s="18" t="s">
        <v>5129</v>
      </c>
      <c r="AP475" s="18" t="s">
        <v>6591</v>
      </c>
      <c r="AQ475" s="18" t="s">
        <v>5252</v>
      </c>
      <c r="AR475" s="18" t="s">
        <v>5464</v>
      </c>
      <c r="AT475" s="17">
        <f>(365*D475*0.7)/1000</f>
        <v>1485.2215000000001</v>
      </c>
      <c r="AU475" s="17">
        <f t="shared" si="25"/>
        <v>583</v>
      </c>
      <c r="AV475" s="18">
        <v>583</v>
      </c>
      <c r="AW475" s="18">
        <v>0</v>
      </c>
      <c r="AY475" s="18" t="s">
        <v>5334</v>
      </c>
      <c r="AZ475" s="18">
        <v>0</v>
      </c>
      <c r="BA475" s="18">
        <v>0</v>
      </c>
      <c r="BB475" s="18">
        <v>1200</v>
      </c>
      <c r="BD475" s="18">
        <v>50</v>
      </c>
      <c r="BE475" s="18">
        <v>800</v>
      </c>
      <c r="BG475" s="18" t="s">
        <v>5369</v>
      </c>
      <c r="BH475" s="18">
        <f>500/1000</f>
        <v>0.5</v>
      </c>
      <c r="BQ475" s="18">
        <v>60</v>
      </c>
      <c r="BR475" s="18">
        <v>51</v>
      </c>
      <c r="BS475" s="18">
        <v>11</v>
      </c>
      <c r="BT475" s="18">
        <v>14</v>
      </c>
      <c r="BU475" s="18">
        <v>1</v>
      </c>
      <c r="BV475" s="18">
        <f>SUM(BQ475:BU475)</f>
        <v>137</v>
      </c>
      <c r="BW475" s="15">
        <f t="shared" si="26"/>
        <v>137</v>
      </c>
      <c r="BY475" s="18" t="s">
        <v>5134</v>
      </c>
      <c r="BZ475" s="18" t="s">
        <v>193</v>
      </c>
      <c r="CD475" s="18" t="s">
        <v>5127</v>
      </c>
      <c r="CE475" s="18" t="s">
        <v>5127</v>
      </c>
      <c r="CF475" s="18" t="s">
        <v>5135</v>
      </c>
      <c r="CG475" s="18" t="s">
        <v>5920</v>
      </c>
      <c r="CH475" s="18" t="s">
        <v>5241</v>
      </c>
      <c r="CI475" s="18" t="s">
        <v>111</v>
      </c>
      <c r="CJ475" s="18" t="s">
        <v>5139</v>
      </c>
      <c r="CK475" s="18" t="s">
        <v>179</v>
      </c>
      <c r="CL475" s="18">
        <v>2</v>
      </c>
      <c r="CM475" s="18">
        <v>0</v>
      </c>
      <c r="CN475" s="18">
        <v>1</v>
      </c>
      <c r="CO475" s="18">
        <v>1</v>
      </c>
      <c r="CP475" s="18">
        <v>0</v>
      </c>
      <c r="CQ475" s="18">
        <v>1</v>
      </c>
      <c r="CR475" s="18">
        <v>0</v>
      </c>
      <c r="CS475" s="18" t="s">
        <v>5141</v>
      </c>
      <c r="CT475" s="18">
        <v>1</v>
      </c>
      <c r="CU475" s="18">
        <v>1</v>
      </c>
      <c r="CV475" s="18">
        <v>1</v>
      </c>
      <c r="CX475" s="18">
        <v>0</v>
      </c>
      <c r="CY475" s="18">
        <v>1</v>
      </c>
      <c r="CZ475" s="18">
        <v>0</v>
      </c>
      <c r="DA475" s="18">
        <v>1</v>
      </c>
      <c r="DB475" s="18">
        <v>0</v>
      </c>
      <c r="DC475" s="18">
        <v>1</v>
      </c>
      <c r="DD475" s="18">
        <v>0</v>
      </c>
      <c r="DE475" s="18">
        <v>3</v>
      </c>
      <c r="DF475" s="18" t="s">
        <v>5141</v>
      </c>
      <c r="DG475" s="18">
        <v>1</v>
      </c>
      <c r="DH475" s="18">
        <v>1</v>
      </c>
      <c r="DI475" s="18">
        <v>1</v>
      </c>
      <c r="DK475" s="18">
        <v>0</v>
      </c>
      <c r="DL475" s="18">
        <v>1</v>
      </c>
      <c r="DM475" s="18" t="s">
        <v>5127</v>
      </c>
      <c r="DN475" s="18" t="s">
        <v>5889</v>
      </c>
      <c r="DO475" s="18" t="s">
        <v>5259</v>
      </c>
      <c r="DP475" s="18" t="s">
        <v>113</v>
      </c>
      <c r="DS475" s="18">
        <v>0</v>
      </c>
      <c r="DT475" s="18">
        <v>0</v>
      </c>
      <c r="DU475" s="18">
        <v>1</v>
      </c>
      <c r="DV475" s="18" t="s">
        <v>5174</v>
      </c>
      <c r="DX475" s="18" t="s">
        <v>5145</v>
      </c>
      <c r="DY475" s="18" t="s">
        <v>106</v>
      </c>
      <c r="DZ475" s="18" t="s">
        <v>113</v>
      </c>
      <c r="EA475" s="18" t="s">
        <v>5261</v>
      </c>
      <c r="EB475" s="18">
        <v>140</v>
      </c>
      <c r="EC475" s="18" t="s">
        <v>113</v>
      </c>
      <c r="ED475" s="18" t="s">
        <v>5147</v>
      </c>
      <c r="EE475" s="18" t="s">
        <v>113</v>
      </c>
      <c r="EF475" s="18" t="s">
        <v>106</v>
      </c>
      <c r="EG475" s="18" t="s">
        <v>5148</v>
      </c>
      <c r="EH475" s="18" t="s">
        <v>5149</v>
      </c>
      <c r="EI475" s="18" t="s">
        <v>6531</v>
      </c>
      <c r="EJ475" s="18" t="s">
        <v>5428</v>
      </c>
      <c r="EK475" s="18" t="s">
        <v>113</v>
      </c>
      <c r="EN475" s="18" t="s">
        <v>113</v>
      </c>
      <c r="EO475" s="18" t="s">
        <v>113</v>
      </c>
      <c r="EP475" s="18" t="s">
        <v>113</v>
      </c>
      <c r="EQ475" s="18" t="s">
        <v>113</v>
      </c>
      <c r="ER475" s="18" t="s">
        <v>5152</v>
      </c>
      <c r="ES475" s="18" t="s">
        <v>5153</v>
      </c>
      <c r="ET475" s="18" t="s">
        <v>5154</v>
      </c>
      <c r="EU475" s="18" t="s">
        <v>5318</v>
      </c>
      <c r="EV475" s="18" t="s">
        <v>5608</v>
      </c>
      <c r="EW475" s="18" t="s">
        <v>5563</v>
      </c>
      <c r="EX475" s="18" t="s">
        <v>5158</v>
      </c>
      <c r="EY475" s="18" t="s">
        <v>5229</v>
      </c>
      <c r="EZ475" s="18" t="s">
        <v>5160</v>
      </c>
      <c r="FA475" s="18" t="s">
        <v>144</v>
      </c>
      <c r="FB475" s="18" t="s">
        <v>5161</v>
      </c>
    </row>
    <row r="476" spans="1:158" ht="10.5" customHeight="1" x14ac:dyDescent="0.2">
      <c r="A476" s="18">
        <v>41</v>
      </c>
      <c r="B476" s="18" t="s">
        <v>4656</v>
      </c>
      <c r="C476" s="18" t="s">
        <v>2137</v>
      </c>
      <c r="D476" s="18">
        <v>9581</v>
      </c>
      <c r="E476" s="16" t="s">
        <v>6656</v>
      </c>
      <c r="F476" s="18" t="s">
        <v>2137</v>
      </c>
      <c r="G476" s="18" t="s">
        <v>106</v>
      </c>
      <c r="H476" s="15" t="s">
        <v>5127</v>
      </c>
      <c r="I476" s="18">
        <v>12</v>
      </c>
      <c r="J476" s="18">
        <v>6</v>
      </c>
      <c r="K476" s="18">
        <v>6</v>
      </c>
      <c r="L476" s="18">
        <v>0</v>
      </c>
      <c r="M476" s="18" t="s">
        <v>5183</v>
      </c>
      <c r="N476" s="18" t="s">
        <v>6592</v>
      </c>
      <c r="T476" s="18" t="s">
        <v>111</v>
      </c>
      <c r="U476" s="18" t="s">
        <v>5250</v>
      </c>
      <c r="V476" s="18" t="s">
        <v>106</v>
      </c>
      <c r="W476" s="18" t="s">
        <v>5124</v>
      </c>
      <c r="Y476" s="18" t="s">
        <v>5162</v>
      </c>
      <c r="Z476" s="18" t="s">
        <v>106</v>
      </c>
      <c r="AA476" s="18" t="s">
        <v>5163</v>
      </c>
      <c r="AB476" s="18" t="s">
        <v>179</v>
      </c>
      <c r="AC476" s="18" t="s">
        <v>5127</v>
      </c>
      <c r="AD476" s="18" t="s">
        <v>5127</v>
      </c>
      <c r="AE476" s="18" t="s">
        <v>5127</v>
      </c>
      <c r="AF476" s="18" t="s">
        <v>111</v>
      </c>
      <c r="AG476" s="18" t="s">
        <v>5127</v>
      </c>
      <c r="AH476" s="18" t="s">
        <v>111</v>
      </c>
      <c r="AI476" s="18" t="s">
        <v>5358</v>
      </c>
      <c r="AK476" s="18" t="s">
        <v>5164</v>
      </c>
      <c r="AN476" s="18">
        <v>400000</v>
      </c>
      <c r="AO476" s="18" t="s">
        <v>5165</v>
      </c>
      <c r="AP476" s="18" t="s">
        <v>6593</v>
      </c>
      <c r="AQ476" s="18" t="s">
        <v>5252</v>
      </c>
      <c r="AR476" s="18" t="s">
        <v>5168</v>
      </c>
      <c r="AT476" s="17">
        <f>(365*D476*0.7)/1000</f>
        <v>2447.9454999999998</v>
      </c>
      <c r="AU476" s="17">
        <f t="shared" si="25"/>
        <v>105</v>
      </c>
      <c r="AV476" s="18">
        <v>105</v>
      </c>
      <c r="AW476" s="18">
        <v>0</v>
      </c>
      <c r="AY476" s="18" t="s">
        <v>164</v>
      </c>
      <c r="BG476" s="18" t="s">
        <v>5281</v>
      </c>
      <c r="BQ476" s="18">
        <v>0</v>
      </c>
      <c r="BR476" s="18">
        <v>0</v>
      </c>
      <c r="BS476" s="18">
        <v>0</v>
      </c>
      <c r="BT476" s="18">
        <v>0</v>
      </c>
      <c r="BU476" s="18">
        <v>0</v>
      </c>
      <c r="BV476" s="18">
        <f t="shared" ref="BV476:BV477" si="28">SUM(BQ476:BU476)</f>
        <v>0</v>
      </c>
      <c r="BW476" s="15">
        <f t="shared" si="26"/>
        <v>0</v>
      </c>
      <c r="BY476" s="18" t="s">
        <v>6594</v>
      </c>
      <c r="BZ476" s="18" t="s">
        <v>5240</v>
      </c>
      <c r="CD476" s="18" t="s">
        <v>5127</v>
      </c>
      <c r="CE476" s="18" t="s">
        <v>5127</v>
      </c>
      <c r="CF476" s="18" t="s">
        <v>5282</v>
      </c>
      <c r="CG476" s="18" t="s">
        <v>5651</v>
      </c>
      <c r="CH476" s="18" t="s">
        <v>5194</v>
      </c>
      <c r="CI476" s="18" t="s">
        <v>5195</v>
      </c>
      <c r="CJ476" s="18" t="s">
        <v>5139</v>
      </c>
      <c r="CK476" s="18" t="s">
        <v>179</v>
      </c>
      <c r="CL476" s="18">
        <v>2</v>
      </c>
      <c r="CM476" s="18">
        <v>0</v>
      </c>
      <c r="CN476" s="18">
        <v>0</v>
      </c>
      <c r="CO476" s="18">
        <v>2</v>
      </c>
      <c r="CP476" s="18">
        <v>2</v>
      </c>
      <c r="CQ476" s="18">
        <v>0</v>
      </c>
      <c r="CR476" s="18">
        <v>0</v>
      </c>
      <c r="CS476" s="18">
        <v>2</v>
      </c>
      <c r="CT476" s="18">
        <v>0</v>
      </c>
      <c r="CU476" s="18">
        <v>0</v>
      </c>
      <c r="CV476" s="18">
        <v>0</v>
      </c>
      <c r="CX476" s="18">
        <v>0</v>
      </c>
      <c r="CY476" s="18">
        <v>0</v>
      </c>
      <c r="CZ476" s="18">
        <v>0</v>
      </c>
      <c r="DA476" s="18">
        <v>0</v>
      </c>
      <c r="DB476" s="18">
        <v>0</v>
      </c>
      <c r="DC476" s="18">
        <v>0</v>
      </c>
      <c r="DD476" s="18">
        <v>0</v>
      </c>
      <c r="DE476" s="18">
        <v>0</v>
      </c>
      <c r="DF476" s="18">
        <v>0</v>
      </c>
      <c r="DG476" s="18">
        <v>0</v>
      </c>
      <c r="DH476" s="18">
        <v>0</v>
      </c>
      <c r="DI476" s="18">
        <v>0</v>
      </c>
      <c r="DK476" s="18">
        <v>0</v>
      </c>
      <c r="DL476" s="18">
        <v>0</v>
      </c>
      <c r="DM476" s="18" t="s">
        <v>5127</v>
      </c>
      <c r="DN476" s="18" t="s">
        <v>5172</v>
      </c>
      <c r="DO476" s="18" t="s">
        <v>5259</v>
      </c>
      <c r="DP476" s="18" t="s">
        <v>113</v>
      </c>
      <c r="DQ476" s="18" t="s">
        <v>179</v>
      </c>
      <c r="DS476" s="18">
        <v>0</v>
      </c>
      <c r="DT476" s="18">
        <v>0</v>
      </c>
      <c r="DU476" s="18">
        <v>0</v>
      </c>
      <c r="DV476" s="18" t="s">
        <v>5301</v>
      </c>
      <c r="DX476" s="18" t="s">
        <v>5201</v>
      </c>
      <c r="DY476" s="18" t="s">
        <v>106</v>
      </c>
      <c r="DZ476" s="18" t="s">
        <v>113</v>
      </c>
      <c r="EA476" s="18" t="s">
        <v>5261</v>
      </c>
      <c r="EB476" s="18">
        <v>300000</v>
      </c>
      <c r="EC476" s="18" t="s">
        <v>113</v>
      </c>
      <c r="ED476" s="18" t="s">
        <v>5176</v>
      </c>
      <c r="EE476" s="18" t="s">
        <v>106</v>
      </c>
      <c r="EF476" s="18" t="s">
        <v>113</v>
      </c>
      <c r="EG476" s="18" t="s">
        <v>5326</v>
      </c>
      <c r="EH476" s="18" t="s">
        <v>5203</v>
      </c>
      <c r="EI476" s="18" t="s">
        <v>5204</v>
      </c>
      <c r="EJ476" s="18" t="s">
        <v>5653</v>
      </c>
      <c r="EK476" s="18" t="s">
        <v>113</v>
      </c>
      <c r="EL476" s="18" t="s">
        <v>5344</v>
      </c>
      <c r="EM476" s="18" t="s">
        <v>5227</v>
      </c>
      <c r="EN476" s="18" t="s">
        <v>113</v>
      </c>
      <c r="EO476" s="18" t="s">
        <v>113</v>
      </c>
      <c r="EP476" s="18" t="s">
        <v>113</v>
      </c>
      <c r="EQ476" s="18" t="s">
        <v>113</v>
      </c>
      <c r="ER476" s="18" t="s">
        <v>5206</v>
      </c>
      <c r="ES476" s="18" t="s">
        <v>5153</v>
      </c>
      <c r="ET476" s="18" t="s">
        <v>5154</v>
      </c>
      <c r="EU476" s="18" t="s">
        <v>5318</v>
      </c>
      <c r="EV476" s="18" t="s">
        <v>179</v>
      </c>
      <c r="EW476" s="18" t="s">
        <v>179</v>
      </c>
      <c r="EX476" s="18" t="s">
        <v>5158</v>
      </c>
      <c r="EY476" s="18" t="s">
        <v>5597</v>
      </c>
      <c r="EZ476" s="18" t="s">
        <v>5160</v>
      </c>
      <c r="FA476" s="18" t="s">
        <v>144</v>
      </c>
      <c r="FB476" s="18" t="s">
        <v>5161</v>
      </c>
    </row>
    <row r="477" spans="1:158" ht="10.5" customHeight="1" x14ac:dyDescent="0.2">
      <c r="A477" s="18">
        <v>41</v>
      </c>
      <c r="B477" s="18" t="s">
        <v>4669</v>
      </c>
      <c r="C477" s="18" t="s">
        <v>4668</v>
      </c>
      <c r="D477" s="18">
        <v>77182</v>
      </c>
      <c r="E477" s="16" t="s">
        <v>6658</v>
      </c>
      <c r="F477" s="18" t="s">
        <v>4668</v>
      </c>
      <c r="G477" s="18" t="s">
        <v>106</v>
      </c>
      <c r="H477" s="15" t="s">
        <v>5127</v>
      </c>
      <c r="I477" s="18">
        <v>18</v>
      </c>
      <c r="J477" s="18">
        <v>14</v>
      </c>
      <c r="K477" s="18">
        <v>4</v>
      </c>
      <c r="L477" s="18">
        <v>0</v>
      </c>
      <c r="M477" s="18" t="s">
        <v>5183</v>
      </c>
      <c r="N477" s="18" t="s">
        <v>230</v>
      </c>
      <c r="T477" s="18" t="s">
        <v>6058</v>
      </c>
      <c r="U477" s="18" t="s">
        <v>5123</v>
      </c>
      <c r="V477" s="18" t="s">
        <v>106</v>
      </c>
      <c r="W477" s="18" t="s">
        <v>5211</v>
      </c>
      <c r="Y477" s="18" t="s">
        <v>5162</v>
      </c>
      <c r="Z477" s="18" t="s">
        <v>106</v>
      </c>
      <c r="AA477" s="18" t="s">
        <v>5163</v>
      </c>
      <c r="AB477" s="18" t="s">
        <v>179</v>
      </c>
      <c r="AC477" s="18" t="s">
        <v>5127</v>
      </c>
      <c r="AD477" s="18" t="s">
        <v>5127</v>
      </c>
      <c r="AE477" s="18" t="s">
        <v>5127</v>
      </c>
      <c r="AF477" s="18" t="s">
        <v>111</v>
      </c>
      <c r="AG477" s="18" t="s">
        <v>5127</v>
      </c>
      <c r="AH477" s="18" t="s">
        <v>5127</v>
      </c>
      <c r="AI477" s="18">
        <v>1</v>
      </c>
      <c r="AK477" s="18" t="s">
        <v>6595</v>
      </c>
      <c r="AN477" s="18">
        <v>0</v>
      </c>
      <c r="AO477" s="18" t="s">
        <v>5186</v>
      </c>
      <c r="AP477" s="18" t="s">
        <v>6596</v>
      </c>
      <c r="AQ477" s="18" t="s">
        <v>5486</v>
      </c>
      <c r="AR477" s="18" t="s">
        <v>5168</v>
      </c>
      <c r="AT477" s="17">
        <f>(365*D477*0.7)/1000</f>
        <v>19720.001</v>
      </c>
      <c r="AU477" s="17">
        <f t="shared" si="25"/>
        <v>0</v>
      </c>
      <c r="AV477" s="18">
        <v>0</v>
      </c>
      <c r="AW477" s="18">
        <v>0</v>
      </c>
      <c r="AY477" s="18" t="s">
        <v>5253</v>
      </c>
      <c r="BG477" s="18" t="s">
        <v>5281</v>
      </c>
      <c r="BQ477" s="18">
        <v>420</v>
      </c>
      <c r="BR477" s="18">
        <v>290</v>
      </c>
      <c r="BS477" s="18">
        <v>150</v>
      </c>
      <c r="BT477" s="18">
        <v>200</v>
      </c>
      <c r="BU477" s="18">
        <v>0</v>
      </c>
      <c r="BV477" s="18">
        <f t="shared" si="28"/>
        <v>1060</v>
      </c>
      <c r="BW477" s="15">
        <f t="shared" si="26"/>
        <v>1060</v>
      </c>
      <c r="BY477" s="18" t="s">
        <v>6162</v>
      </c>
      <c r="BZ477" s="18" t="s">
        <v>5312</v>
      </c>
      <c r="CD477" s="18" t="s">
        <v>5127</v>
      </c>
      <c r="CE477" s="18" t="s">
        <v>5127</v>
      </c>
      <c r="CF477" s="18" t="s">
        <v>5135</v>
      </c>
      <c r="CG477" s="18" t="s">
        <v>6597</v>
      </c>
      <c r="CH477" s="18" t="s">
        <v>5504</v>
      </c>
      <c r="CI477" s="18" t="s">
        <v>5195</v>
      </c>
      <c r="CJ477" s="18" t="s">
        <v>5196</v>
      </c>
      <c r="CK477" s="18" t="s">
        <v>6075</v>
      </c>
      <c r="CL477" s="18">
        <v>2</v>
      </c>
      <c r="CM477" s="18">
        <v>0</v>
      </c>
      <c r="CN477" s="18">
        <v>0</v>
      </c>
      <c r="CO477" s="18">
        <v>2</v>
      </c>
      <c r="CP477" s="18">
        <v>0</v>
      </c>
      <c r="CQ477" s="18">
        <v>0</v>
      </c>
      <c r="CR477" s="18">
        <v>0</v>
      </c>
      <c r="CS477" s="18" t="s">
        <v>5141</v>
      </c>
      <c r="CT477" s="18">
        <v>0</v>
      </c>
      <c r="CU477" s="18">
        <v>2</v>
      </c>
      <c r="CV477" s="18" t="s">
        <v>5141</v>
      </c>
      <c r="CX477" s="18">
        <v>1</v>
      </c>
      <c r="CY477" s="18">
        <v>2</v>
      </c>
      <c r="CZ477" s="18">
        <v>0</v>
      </c>
      <c r="DA477" s="18">
        <v>1</v>
      </c>
      <c r="DB477" s="18">
        <v>0</v>
      </c>
      <c r="DC477" s="18">
        <v>1</v>
      </c>
      <c r="DD477" s="18">
        <v>1</v>
      </c>
      <c r="DE477" s="18" t="s">
        <v>5141</v>
      </c>
      <c r="DF477" s="18" t="s">
        <v>5141</v>
      </c>
      <c r="DG477" s="18">
        <v>2</v>
      </c>
      <c r="DH477" s="18">
        <v>1</v>
      </c>
      <c r="DI477" s="18" t="s">
        <v>5141</v>
      </c>
      <c r="DK477" s="18">
        <v>0</v>
      </c>
      <c r="DL477" s="18">
        <v>1</v>
      </c>
      <c r="DM477" s="18" t="s">
        <v>5127</v>
      </c>
      <c r="DN477" s="18" t="s">
        <v>5172</v>
      </c>
      <c r="DO477" s="18" t="s">
        <v>5681</v>
      </c>
      <c r="DP477" s="18" t="s">
        <v>113</v>
      </c>
      <c r="DQ477" s="18" t="s">
        <v>5168</v>
      </c>
      <c r="DS477" s="18">
        <v>0</v>
      </c>
      <c r="DT477" s="18">
        <v>1</v>
      </c>
      <c r="DU477" s="18">
        <v>1</v>
      </c>
      <c r="DV477" s="18" t="s">
        <v>5958</v>
      </c>
      <c r="DX477" s="18" t="s">
        <v>5201</v>
      </c>
      <c r="DY477" s="18" t="s">
        <v>106</v>
      </c>
      <c r="DZ477" s="18" t="s">
        <v>113</v>
      </c>
      <c r="EA477" s="18" t="s">
        <v>5639</v>
      </c>
      <c r="EB477" s="18">
        <v>950</v>
      </c>
      <c r="EC477" s="18" t="s">
        <v>106</v>
      </c>
      <c r="ED477" s="18" t="s">
        <v>5176</v>
      </c>
      <c r="EE477" s="18" t="s">
        <v>106</v>
      </c>
      <c r="EF477" s="18" t="s">
        <v>106</v>
      </c>
      <c r="EG477" s="18" t="s">
        <v>6121</v>
      </c>
      <c r="EH477" s="18" t="s">
        <v>5203</v>
      </c>
      <c r="EI477" s="18" t="s">
        <v>5204</v>
      </c>
      <c r="EJ477" s="18" t="s">
        <v>5304</v>
      </c>
      <c r="EK477" s="18" t="s">
        <v>113</v>
      </c>
      <c r="EN477" s="18" t="s">
        <v>113</v>
      </c>
      <c r="EO477" s="18" t="s">
        <v>106</v>
      </c>
      <c r="EP477" s="18" t="s">
        <v>113</v>
      </c>
      <c r="EQ477" s="18" t="s">
        <v>106</v>
      </c>
      <c r="ER477" s="18" t="s">
        <v>5206</v>
      </c>
      <c r="ES477" s="18" t="s">
        <v>5153</v>
      </c>
      <c r="ET477" s="18" t="s">
        <v>5154</v>
      </c>
      <c r="EU477" s="18" t="s">
        <v>5318</v>
      </c>
      <c r="EV477" s="18" t="s">
        <v>5305</v>
      </c>
      <c r="EW477" s="18" t="s">
        <v>5180</v>
      </c>
      <c r="EX477" s="18" t="s">
        <v>5158</v>
      </c>
      <c r="EY477" s="18" t="s">
        <v>5438</v>
      </c>
      <c r="EZ477" s="18" t="s">
        <v>5160</v>
      </c>
      <c r="FA477" s="18" t="s">
        <v>144</v>
      </c>
      <c r="FB477" s="18" t="s">
        <v>5161</v>
      </c>
    </row>
    <row r="478" spans="1:158" ht="10.5" customHeight="1" x14ac:dyDescent="0.2">
      <c r="A478" s="18">
        <v>41</v>
      </c>
      <c r="B478" s="18" t="s">
        <v>4669</v>
      </c>
      <c r="C478" s="18" t="s">
        <v>4668</v>
      </c>
      <c r="D478" s="18">
        <v>77182</v>
      </c>
      <c r="E478" s="16" t="s">
        <v>6658</v>
      </c>
      <c r="F478" s="18" t="s">
        <v>4668</v>
      </c>
      <c r="G478" s="18" t="s">
        <v>106</v>
      </c>
      <c r="H478" s="15" t="s">
        <v>5127</v>
      </c>
      <c r="I478" s="18">
        <v>20</v>
      </c>
      <c r="J478" s="18">
        <v>13</v>
      </c>
      <c r="K478" s="18">
        <v>7</v>
      </c>
      <c r="L478" s="18">
        <v>0</v>
      </c>
      <c r="M478" s="18" t="s">
        <v>5183</v>
      </c>
      <c r="N478" s="18" t="s">
        <v>230</v>
      </c>
      <c r="T478" s="18" t="s">
        <v>6058</v>
      </c>
      <c r="U478" s="18" t="s">
        <v>5123</v>
      </c>
      <c r="V478" s="18" t="s">
        <v>106</v>
      </c>
      <c r="W478" s="18" t="s">
        <v>5211</v>
      </c>
      <c r="Y478" s="18" t="s">
        <v>5407</v>
      </c>
      <c r="Z478" s="18" t="s">
        <v>106</v>
      </c>
      <c r="AA478" s="18" t="s">
        <v>5163</v>
      </c>
      <c r="AB478" s="18" t="s">
        <v>179</v>
      </c>
      <c r="AC478" s="18" t="s">
        <v>5127</v>
      </c>
      <c r="AD478" s="18" t="s">
        <v>5127</v>
      </c>
      <c r="AE478" s="18" t="s">
        <v>5127</v>
      </c>
      <c r="AF478" s="18" t="s">
        <v>111</v>
      </c>
      <c r="AG478" s="18" t="s">
        <v>5127</v>
      </c>
      <c r="AH478" s="18" t="s">
        <v>5127</v>
      </c>
      <c r="AI478" s="18">
        <v>1</v>
      </c>
      <c r="AK478" s="18" t="s">
        <v>6595</v>
      </c>
      <c r="AN478" s="18">
        <v>0</v>
      </c>
      <c r="AO478" s="18" t="s">
        <v>5186</v>
      </c>
      <c r="AP478" s="18" t="s">
        <v>6598</v>
      </c>
      <c r="AQ478" s="18" t="s">
        <v>6247</v>
      </c>
      <c r="AR478" s="18" t="s">
        <v>5168</v>
      </c>
      <c r="AT478" s="17">
        <f>(365*D478*0.7)/1000</f>
        <v>19720.001</v>
      </c>
      <c r="AU478" s="17">
        <f t="shared" si="25"/>
        <v>0</v>
      </c>
      <c r="AV478" s="18">
        <v>0</v>
      </c>
      <c r="AW478" s="18">
        <v>0</v>
      </c>
      <c r="AY478" s="18" t="s">
        <v>5253</v>
      </c>
      <c r="BG478" s="18" t="s">
        <v>5281</v>
      </c>
      <c r="BQ478" s="18">
        <v>425</v>
      </c>
      <c r="BR478" s="18">
        <v>262</v>
      </c>
      <c r="BS478" s="18">
        <v>111</v>
      </c>
      <c r="BT478" s="18">
        <v>192</v>
      </c>
      <c r="BU478" s="18">
        <v>0</v>
      </c>
      <c r="BV478" s="18">
        <v>990</v>
      </c>
      <c r="BW478" s="15">
        <f t="shared" si="26"/>
        <v>990</v>
      </c>
      <c r="BY478" s="18" t="s">
        <v>5134</v>
      </c>
      <c r="BZ478" s="18" t="s">
        <v>5312</v>
      </c>
      <c r="CD478" s="18" t="s">
        <v>5127</v>
      </c>
      <c r="CE478" s="18" t="s">
        <v>5127</v>
      </c>
      <c r="CF478" s="18" t="s">
        <v>5135</v>
      </c>
      <c r="CG478" s="18" t="s">
        <v>5644</v>
      </c>
      <c r="CH478" s="18" t="s">
        <v>5504</v>
      </c>
      <c r="CI478" s="18" t="s">
        <v>5195</v>
      </c>
      <c r="CJ478" s="18" t="s">
        <v>5196</v>
      </c>
      <c r="CK478" s="18" t="s">
        <v>6075</v>
      </c>
      <c r="CL478" s="18">
        <v>4</v>
      </c>
      <c r="CM478" s="18">
        <v>0</v>
      </c>
      <c r="CN478" s="18">
        <v>0</v>
      </c>
      <c r="CO478" s="18">
        <v>1</v>
      </c>
      <c r="CP478" s="18">
        <v>0</v>
      </c>
      <c r="CQ478" s="18">
        <v>0</v>
      </c>
      <c r="CR478" s="18">
        <v>0</v>
      </c>
      <c r="CS478" s="18" t="s">
        <v>5141</v>
      </c>
      <c r="CT478" s="18">
        <v>0</v>
      </c>
      <c r="CU478" s="18">
        <v>2</v>
      </c>
      <c r="CV478" s="18">
        <v>0</v>
      </c>
      <c r="CX478" s="18">
        <v>1</v>
      </c>
      <c r="CY478" s="18">
        <v>0</v>
      </c>
      <c r="CZ478" s="18">
        <v>0</v>
      </c>
      <c r="DA478" s="18">
        <v>1</v>
      </c>
      <c r="DB478" s="18">
        <v>1</v>
      </c>
      <c r="DC478" s="18">
        <v>1</v>
      </c>
      <c r="DD478" s="18">
        <v>1</v>
      </c>
      <c r="DE478" s="18" t="s">
        <v>5141</v>
      </c>
      <c r="DF478" s="18" t="s">
        <v>5141</v>
      </c>
      <c r="DG478" s="18">
        <v>2</v>
      </c>
      <c r="DH478" s="18">
        <v>1</v>
      </c>
      <c r="DI478" s="18" t="s">
        <v>5141</v>
      </c>
      <c r="DK478" s="18">
        <v>0</v>
      </c>
      <c r="DL478" s="18">
        <v>1</v>
      </c>
      <c r="DM478" s="18" t="s">
        <v>5127</v>
      </c>
      <c r="DN478" s="18" t="s">
        <v>5172</v>
      </c>
      <c r="DO478" s="18" t="s">
        <v>5681</v>
      </c>
      <c r="DP478" s="18" t="s">
        <v>113</v>
      </c>
      <c r="DS478" s="18">
        <v>0</v>
      </c>
      <c r="DT478" s="18">
        <v>1</v>
      </c>
      <c r="DU478" s="18">
        <v>1</v>
      </c>
      <c r="DV478" s="18" t="s">
        <v>5958</v>
      </c>
      <c r="DX478" s="18" t="s">
        <v>5201</v>
      </c>
      <c r="DY478" s="18" t="s">
        <v>106</v>
      </c>
      <c r="DZ478" s="18" t="s">
        <v>113</v>
      </c>
      <c r="EA478" s="18" t="s">
        <v>5202</v>
      </c>
      <c r="EB478" s="18">
        <v>950</v>
      </c>
      <c r="EC478" s="18" t="s">
        <v>106</v>
      </c>
      <c r="ED478" s="18" t="s">
        <v>5147</v>
      </c>
      <c r="EE478" s="18" t="s">
        <v>106</v>
      </c>
      <c r="EF478" s="18" t="s">
        <v>106</v>
      </c>
      <c r="EG478" s="18" t="s">
        <v>5148</v>
      </c>
      <c r="EH478" s="18" t="s">
        <v>5203</v>
      </c>
      <c r="EI478" s="18" t="s">
        <v>5204</v>
      </c>
      <c r="EJ478" s="18" t="s">
        <v>5245</v>
      </c>
      <c r="EK478" s="18" t="s">
        <v>113</v>
      </c>
      <c r="EN478" s="18" t="s">
        <v>113</v>
      </c>
      <c r="EO478" s="18" t="s">
        <v>113</v>
      </c>
      <c r="EP478" s="18" t="s">
        <v>113</v>
      </c>
      <c r="EQ478" s="18" t="s">
        <v>106</v>
      </c>
      <c r="ER478" s="18" t="s">
        <v>5206</v>
      </c>
      <c r="ES478" s="18" t="s">
        <v>5153</v>
      </c>
      <c r="ET478" s="18" t="s">
        <v>5154</v>
      </c>
      <c r="EU478" s="18" t="s">
        <v>5155</v>
      </c>
      <c r="EV478" s="18" t="s">
        <v>5305</v>
      </c>
      <c r="EW478" s="18" t="s">
        <v>5247</v>
      </c>
      <c r="EX478" s="18" t="s">
        <v>5158</v>
      </c>
      <c r="EY478" s="18" t="s">
        <v>5438</v>
      </c>
      <c r="EZ478" s="18" t="s">
        <v>5160</v>
      </c>
      <c r="FA478" s="18" t="s">
        <v>144</v>
      </c>
      <c r="FB478" s="18" t="s">
        <v>5161</v>
      </c>
    </row>
    <row r="479" spans="1:158" ht="10.5" customHeight="1" x14ac:dyDescent="0.2">
      <c r="A479" s="18">
        <v>41</v>
      </c>
      <c r="B479" s="18" t="s">
        <v>4688</v>
      </c>
      <c r="C479" s="18" t="s">
        <v>4687</v>
      </c>
      <c r="D479" s="18">
        <v>18048</v>
      </c>
      <c r="E479" s="16" t="s">
        <v>6658</v>
      </c>
      <c r="F479" s="18" t="s">
        <v>4687</v>
      </c>
      <c r="G479" s="18" t="s">
        <v>106</v>
      </c>
      <c r="H479" s="15" t="s">
        <v>5127</v>
      </c>
      <c r="I479" s="18">
        <v>9</v>
      </c>
      <c r="J479" s="18">
        <v>7</v>
      </c>
      <c r="K479" s="18">
        <v>2</v>
      </c>
      <c r="L479" s="18">
        <v>0</v>
      </c>
      <c r="M479" s="18" t="s">
        <v>5183</v>
      </c>
      <c r="N479" s="18" t="s">
        <v>6599</v>
      </c>
      <c r="O479" s="18">
        <v>46153</v>
      </c>
      <c r="T479" s="18" t="s">
        <v>111</v>
      </c>
      <c r="U479" s="18" t="s">
        <v>5123</v>
      </c>
      <c r="V479" s="18" t="s">
        <v>113</v>
      </c>
      <c r="W479" s="18" t="s">
        <v>5124</v>
      </c>
      <c r="Y479" s="18" t="s">
        <v>5574</v>
      </c>
      <c r="Z479" s="18" t="s">
        <v>106</v>
      </c>
      <c r="AA479" s="18" t="s">
        <v>5163</v>
      </c>
      <c r="AB479" s="18" t="s">
        <v>5213</v>
      </c>
      <c r="AC479" s="18" t="s">
        <v>5127</v>
      </c>
      <c r="AD479" s="18" t="s">
        <v>5127</v>
      </c>
      <c r="AE479" s="18" t="s">
        <v>5127</v>
      </c>
      <c r="AF479" s="18" t="s">
        <v>5127</v>
      </c>
      <c r="AG479" s="18" t="s">
        <v>5127</v>
      </c>
      <c r="AH479" s="18" t="s">
        <v>5127</v>
      </c>
      <c r="AI479" s="18">
        <v>1</v>
      </c>
      <c r="AK479" s="18" t="s">
        <v>5164</v>
      </c>
      <c r="AN479" s="18">
        <v>110</v>
      </c>
      <c r="AO479" s="18" t="s">
        <v>5391</v>
      </c>
      <c r="AP479" s="18" t="s">
        <v>6600</v>
      </c>
      <c r="AQ479" s="18" t="s">
        <v>5252</v>
      </c>
      <c r="AR479" s="18" t="s">
        <v>5132</v>
      </c>
      <c r="AT479" s="17">
        <f>(365*D479*0.7)/1000</f>
        <v>4611.2640000000001</v>
      </c>
      <c r="AU479" s="17">
        <f t="shared" si="25"/>
        <v>20</v>
      </c>
      <c r="AV479" s="18">
        <v>20</v>
      </c>
      <c r="AW479" s="18">
        <v>0</v>
      </c>
      <c r="AY479" s="18" t="s">
        <v>6601</v>
      </c>
      <c r="AZ479" s="18">
        <v>15</v>
      </c>
      <c r="BA479" s="18">
        <v>10</v>
      </c>
      <c r="BB479" s="18">
        <v>200</v>
      </c>
      <c r="BD479" s="18">
        <f>10000/1000</f>
        <v>10</v>
      </c>
      <c r="BE479" s="18">
        <v>4000</v>
      </c>
      <c r="BG479" s="18" t="s">
        <v>6602</v>
      </c>
      <c r="BH479" s="18">
        <f>2000/1000</f>
        <v>2</v>
      </c>
      <c r="BI479" s="18">
        <f>500/1000</f>
        <v>0.5</v>
      </c>
      <c r="BJ479" s="18">
        <f>300/1000</f>
        <v>0.3</v>
      </c>
      <c r="BQ479" s="18">
        <v>50</v>
      </c>
      <c r="BR479" s="18">
        <v>10</v>
      </c>
      <c r="BS479" s="18">
        <v>10</v>
      </c>
      <c r="BT479" s="18">
        <v>10</v>
      </c>
      <c r="BU479" s="18">
        <v>5</v>
      </c>
      <c r="BV479" s="18">
        <v>85</v>
      </c>
      <c r="BW479" s="15">
        <f t="shared" si="26"/>
        <v>85</v>
      </c>
      <c r="BY479" s="18" t="s">
        <v>5134</v>
      </c>
      <c r="BZ479" s="18" t="s">
        <v>193</v>
      </c>
      <c r="CD479" s="18" t="s">
        <v>5127</v>
      </c>
      <c r="CE479" s="18" t="s">
        <v>5127</v>
      </c>
      <c r="CF479" s="18" t="s">
        <v>5282</v>
      </c>
      <c r="CG479" s="18" t="s">
        <v>6603</v>
      </c>
      <c r="CH479" s="18" t="s">
        <v>5241</v>
      </c>
      <c r="CI479" s="18" t="s">
        <v>5195</v>
      </c>
      <c r="CJ479" s="18" t="s">
        <v>5139</v>
      </c>
      <c r="CK479" s="18" t="s">
        <v>179</v>
      </c>
      <c r="CL479" s="18">
        <v>2</v>
      </c>
      <c r="CM479" s="18">
        <v>0</v>
      </c>
      <c r="CN479" s="18">
        <v>0</v>
      </c>
      <c r="CO479" s="18">
        <v>1</v>
      </c>
      <c r="CP479" s="18">
        <v>0</v>
      </c>
      <c r="CQ479" s="18">
        <v>0</v>
      </c>
      <c r="CR479" s="18">
        <v>0</v>
      </c>
      <c r="CS479" s="18">
        <v>0</v>
      </c>
      <c r="CT479" s="18">
        <v>0</v>
      </c>
      <c r="CU479" s="18">
        <v>0</v>
      </c>
      <c r="CV479" s="18">
        <v>0</v>
      </c>
      <c r="CX479" s="18">
        <v>1</v>
      </c>
      <c r="CY479" s="18">
        <v>0</v>
      </c>
      <c r="CZ479" s="18">
        <v>1</v>
      </c>
      <c r="DA479" s="18">
        <v>1</v>
      </c>
      <c r="DB479" s="18">
        <v>1</v>
      </c>
      <c r="DC479" s="18">
        <v>1</v>
      </c>
      <c r="DD479" s="18">
        <v>1</v>
      </c>
      <c r="DE479" s="18">
        <v>4</v>
      </c>
      <c r="DF479" s="18" t="s">
        <v>5141</v>
      </c>
      <c r="DG479" s="18">
        <v>1</v>
      </c>
      <c r="DH479" s="18">
        <v>1</v>
      </c>
      <c r="DI479" s="18">
        <v>1</v>
      </c>
      <c r="DK479" s="18">
        <v>0</v>
      </c>
      <c r="DL479" s="18">
        <v>1</v>
      </c>
      <c r="DM479" s="18" t="s">
        <v>5127</v>
      </c>
      <c r="DN479" s="18" t="s">
        <v>5258</v>
      </c>
      <c r="DO479" s="18" t="s">
        <v>5259</v>
      </c>
      <c r="DP479" s="18" t="s">
        <v>113</v>
      </c>
      <c r="DQ479" s="18" t="s">
        <v>179</v>
      </c>
      <c r="DS479" s="18">
        <v>0</v>
      </c>
      <c r="DT479" s="18">
        <v>0</v>
      </c>
      <c r="DU479" s="18">
        <v>1</v>
      </c>
      <c r="DV479" s="18" t="s">
        <v>5342</v>
      </c>
      <c r="DX479" s="18" t="s">
        <v>5222</v>
      </c>
      <c r="DY479" s="18" t="s">
        <v>113</v>
      </c>
      <c r="DZ479" s="18" t="s">
        <v>106</v>
      </c>
      <c r="EA479" s="18" t="s">
        <v>5202</v>
      </c>
      <c r="EB479" s="18">
        <v>90</v>
      </c>
      <c r="EC479" s="18" t="s">
        <v>106</v>
      </c>
      <c r="ED479" s="18" t="s">
        <v>5176</v>
      </c>
      <c r="EE479" s="18" t="s">
        <v>113</v>
      </c>
      <c r="EF479" s="18" t="s">
        <v>113</v>
      </c>
      <c r="EG479" s="18" t="s">
        <v>5810</v>
      </c>
      <c r="EH479" s="18" t="s">
        <v>5149</v>
      </c>
      <c r="EI479" s="18" t="s">
        <v>5150</v>
      </c>
      <c r="EJ479" s="18" t="s">
        <v>5361</v>
      </c>
      <c r="EK479" s="18" t="s">
        <v>113</v>
      </c>
      <c r="EL479" s="18" t="s">
        <v>137</v>
      </c>
      <c r="EM479" s="18" t="s">
        <v>137</v>
      </c>
      <c r="EN479" s="18" t="s">
        <v>113</v>
      </c>
      <c r="EO479" s="18" t="s">
        <v>113</v>
      </c>
      <c r="EP479" s="18" t="s">
        <v>113</v>
      </c>
      <c r="EQ479" s="18" t="s">
        <v>113</v>
      </c>
      <c r="ER479" s="18" t="s">
        <v>5152</v>
      </c>
      <c r="ES479" s="18" t="s">
        <v>5153</v>
      </c>
      <c r="ET479" s="18" t="s">
        <v>5154</v>
      </c>
      <c r="EU479" s="18" t="s">
        <v>5155</v>
      </c>
      <c r="EV479" s="18" t="s">
        <v>5629</v>
      </c>
      <c r="EW479" s="18" t="s">
        <v>5567</v>
      </c>
      <c r="EX479" s="18" t="s">
        <v>5158</v>
      </c>
      <c r="EY479" s="18" t="s">
        <v>5292</v>
      </c>
      <c r="EZ479" s="18" t="s">
        <v>5160</v>
      </c>
      <c r="FA479" s="18" t="s">
        <v>144</v>
      </c>
      <c r="FB479" s="18" t="s">
        <v>5161</v>
      </c>
    </row>
    <row r="480" spans="1:158" ht="10.5" customHeight="1" x14ac:dyDescent="0.2">
      <c r="A480" s="18">
        <v>41</v>
      </c>
      <c r="B480" s="18" t="s">
        <v>4707</v>
      </c>
      <c r="C480" s="18" t="s">
        <v>4706</v>
      </c>
      <c r="D480" s="18">
        <v>14989</v>
      </c>
      <c r="E480" s="16" t="s">
        <v>6656</v>
      </c>
      <c r="F480" s="18" t="s">
        <v>4706</v>
      </c>
      <c r="G480" s="18" t="s">
        <v>106</v>
      </c>
      <c r="H480" s="15" t="s">
        <v>5127</v>
      </c>
      <c r="I480" s="18">
        <v>10</v>
      </c>
      <c r="J480" s="18">
        <v>4</v>
      </c>
      <c r="K480" s="18">
        <v>6</v>
      </c>
      <c r="M480" s="18" t="s">
        <v>5183</v>
      </c>
      <c r="N480" s="18" t="s">
        <v>6604</v>
      </c>
      <c r="T480" s="18" t="s">
        <v>111</v>
      </c>
      <c r="U480" s="18" t="s">
        <v>5250</v>
      </c>
      <c r="V480" s="18" t="s">
        <v>106</v>
      </c>
      <c r="W480" s="18" t="s">
        <v>5124</v>
      </c>
      <c r="Y480" s="18" t="s">
        <v>5162</v>
      </c>
      <c r="Z480" s="18" t="s">
        <v>113</v>
      </c>
      <c r="AA480" s="18" t="s">
        <v>5163</v>
      </c>
      <c r="AB480" s="18" t="s">
        <v>5213</v>
      </c>
      <c r="AC480" s="18" t="s">
        <v>111</v>
      </c>
      <c r="AD480" s="18" t="s">
        <v>5127</v>
      </c>
      <c r="AE480" s="18" t="s">
        <v>111</v>
      </c>
      <c r="AF480" s="18" t="s">
        <v>111</v>
      </c>
      <c r="AG480" s="18" t="s">
        <v>5127</v>
      </c>
      <c r="AH480" s="18" t="s">
        <v>111</v>
      </c>
      <c r="AI480" s="18">
        <v>1</v>
      </c>
      <c r="AK480" s="18" t="s">
        <v>5164</v>
      </c>
      <c r="AN480" s="18">
        <v>537</v>
      </c>
      <c r="AO480" s="18" t="s">
        <v>5129</v>
      </c>
      <c r="AP480" s="18" t="s">
        <v>6605</v>
      </c>
      <c r="AQ480" s="18" t="s">
        <v>5269</v>
      </c>
      <c r="AR480" s="18" t="s">
        <v>5168</v>
      </c>
      <c r="AT480" s="17">
        <f>(365*D480*0.7)/1000</f>
        <v>3829.6894999999995</v>
      </c>
      <c r="AU480" s="17">
        <f t="shared" si="25"/>
        <v>489</v>
      </c>
      <c r="AV480" s="18">
        <v>489</v>
      </c>
      <c r="AW480" s="18">
        <v>0</v>
      </c>
      <c r="AY480" s="18" t="s">
        <v>164</v>
      </c>
      <c r="BG480" s="18" t="s">
        <v>5169</v>
      </c>
      <c r="BQ480" s="18">
        <v>50.4</v>
      </c>
      <c r="BR480" s="18">
        <v>175.32</v>
      </c>
      <c r="BS480" s="18">
        <v>0</v>
      </c>
      <c r="BT480" s="18">
        <v>43.2</v>
      </c>
      <c r="BU480" s="18">
        <v>0</v>
      </c>
      <c r="BV480" s="18">
        <v>268.92</v>
      </c>
      <c r="BW480" s="15">
        <f t="shared" si="26"/>
        <v>268.92</v>
      </c>
      <c r="BY480" s="18" t="s">
        <v>5134</v>
      </c>
      <c r="BZ480" s="18" t="s">
        <v>6606</v>
      </c>
      <c r="CD480" s="18" t="s">
        <v>5127</v>
      </c>
      <c r="CE480" s="18" t="s">
        <v>111</v>
      </c>
      <c r="CF480" s="18" t="s">
        <v>5135</v>
      </c>
      <c r="CG480" s="18" t="s">
        <v>5903</v>
      </c>
      <c r="CH480" s="18" t="s">
        <v>5241</v>
      </c>
      <c r="CI480" s="18" t="s">
        <v>111</v>
      </c>
      <c r="CJ480" s="18" t="s">
        <v>5196</v>
      </c>
      <c r="CK480" s="18" t="s">
        <v>179</v>
      </c>
      <c r="CL480" s="18">
        <v>2</v>
      </c>
      <c r="CM480" s="18">
        <v>0</v>
      </c>
      <c r="CN480" s="18">
        <v>0</v>
      </c>
      <c r="CO480" s="18">
        <v>0</v>
      </c>
      <c r="CP480" s="18">
        <v>1</v>
      </c>
      <c r="CQ480" s="18">
        <v>1</v>
      </c>
      <c r="CR480" s="18">
        <v>0</v>
      </c>
      <c r="CS480" s="18">
        <v>1</v>
      </c>
      <c r="CT480" s="18">
        <v>0</v>
      </c>
      <c r="CU480" s="18">
        <v>0</v>
      </c>
      <c r="CV480" s="18">
        <v>1</v>
      </c>
      <c r="CX480" s="18">
        <v>1</v>
      </c>
      <c r="CY480" s="18">
        <v>1</v>
      </c>
      <c r="CZ480" s="18">
        <v>1</v>
      </c>
      <c r="DA480" s="18">
        <v>1</v>
      </c>
      <c r="DB480" s="18">
        <v>1</v>
      </c>
      <c r="DC480" s="18">
        <v>1</v>
      </c>
      <c r="DD480" s="18">
        <v>1</v>
      </c>
      <c r="DE480" s="18">
        <v>1</v>
      </c>
      <c r="DF480" s="18">
        <v>1</v>
      </c>
      <c r="DG480" s="18">
        <v>1</v>
      </c>
      <c r="DH480" s="18">
        <v>1</v>
      </c>
      <c r="DI480" s="18">
        <v>1</v>
      </c>
      <c r="DK480" s="18">
        <v>0</v>
      </c>
      <c r="DL480" s="18">
        <v>1</v>
      </c>
      <c r="DM480" s="18" t="s">
        <v>5127</v>
      </c>
      <c r="DN480" s="18" t="s">
        <v>5172</v>
      </c>
      <c r="DO480" s="18" t="s">
        <v>5665</v>
      </c>
      <c r="DP480" s="18" t="s">
        <v>113</v>
      </c>
      <c r="DQ480" s="18" t="s">
        <v>5168</v>
      </c>
      <c r="DS480" s="18">
        <v>0</v>
      </c>
      <c r="DT480" s="18">
        <v>0</v>
      </c>
      <c r="DU480" s="18">
        <v>1</v>
      </c>
      <c r="DV480" s="18" t="s">
        <v>5342</v>
      </c>
      <c r="DX480" s="18" t="s">
        <v>5222</v>
      </c>
      <c r="DY480" s="18" t="s">
        <v>106</v>
      </c>
      <c r="DZ480" s="18" t="s">
        <v>113</v>
      </c>
      <c r="EA480" s="18" t="s">
        <v>5146</v>
      </c>
      <c r="EB480" s="18">
        <v>48</v>
      </c>
      <c r="EC480" s="18" t="s">
        <v>106</v>
      </c>
      <c r="ED480" s="18" t="s">
        <v>5176</v>
      </c>
      <c r="EE480" s="18" t="s">
        <v>106</v>
      </c>
      <c r="EF480" s="18" t="s">
        <v>113</v>
      </c>
      <c r="EH480" s="18" t="s">
        <v>5203</v>
      </c>
      <c r="EI480" s="18" t="s">
        <v>5204</v>
      </c>
      <c r="EJ480" s="18" t="s">
        <v>5338</v>
      </c>
      <c r="EK480" s="18" t="s">
        <v>113</v>
      </c>
      <c r="EM480" s="18" t="s">
        <v>5274</v>
      </c>
      <c r="EN480" s="18" t="s">
        <v>113</v>
      </c>
      <c r="EO480" s="18" t="s">
        <v>113</v>
      </c>
      <c r="EP480" s="18" t="s">
        <v>113</v>
      </c>
      <c r="EQ480" s="18" t="s">
        <v>113</v>
      </c>
      <c r="ER480" s="18" t="s">
        <v>5152</v>
      </c>
      <c r="ES480" s="18" t="s">
        <v>5153</v>
      </c>
      <c r="ET480" s="18" t="s">
        <v>5154</v>
      </c>
      <c r="EU480" s="18" t="s">
        <v>5155</v>
      </c>
      <c r="EV480" s="18" t="s">
        <v>6163</v>
      </c>
      <c r="EW480" s="18" t="s">
        <v>6607</v>
      </c>
      <c r="EX480" s="18" t="s">
        <v>5158</v>
      </c>
      <c r="EY480" s="18" t="s">
        <v>5229</v>
      </c>
      <c r="EZ480" s="18" t="s">
        <v>5160</v>
      </c>
      <c r="FA480" s="18" t="s">
        <v>144</v>
      </c>
      <c r="FB480" s="18" t="s">
        <v>5161</v>
      </c>
    </row>
    <row r="481" spans="1:158" ht="10.5" customHeight="1" x14ac:dyDescent="0.2">
      <c r="A481" s="18">
        <v>41</v>
      </c>
      <c r="B481" s="18" t="s">
        <v>4718</v>
      </c>
      <c r="C481" s="18" t="s">
        <v>4717</v>
      </c>
      <c r="D481" s="18">
        <v>18548</v>
      </c>
      <c r="E481" s="16" t="s">
        <v>6658</v>
      </c>
      <c r="H481" s="15" t="s">
        <v>6661</v>
      </c>
      <c r="AT481" s="17">
        <f>(365*D481*0.7)/1000</f>
        <v>4739.0140000000001</v>
      </c>
      <c r="AU481" s="17">
        <f t="shared" si="25"/>
        <v>0</v>
      </c>
      <c r="BW481" s="15">
        <f t="shared" si="26"/>
        <v>0</v>
      </c>
    </row>
    <row r="482" spans="1:158" ht="10.5" customHeight="1" x14ac:dyDescent="0.2">
      <c r="A482" s="18">
        <v>41</v>
      </c>
      <c r="B482" s="18" t="s">
        <v>4730</v>
      </c>
      <c r="C482" s="18" t="s">
        <v>4729</v>
      </c>
      <c r="D482" s="18">
        <v>20304</v>
      </c>
      <c r="E482" s="16" t="s">
        <v>6658</v>
      </c>
      <c r="F482" s="18" t="s">
        <v>4729</v>
      </c>
      <c r="G482" s="18" t="s">
        <v>106</v>
      </c>
      <c r="H482" s="15" t="s">
        <v>5127</v>
      </c>
      <c r="I482" s="18">
        <v>59</v>
      </c>
      <c r="J482" s="18">
        <v>34</v>
      </c>
      <c r="K482" s="18">
        <v>25</v>
      </c>
      <c r="L482" s="18" t="s">
        <v>5330</v>
      </c>
      <c r="M482" s="18" t="s">
        <v>5183</v>
      </c>
      <c r="N482" s="18" t="s">
        <v>6608</v>
      </c>
      <c r="O482" s="18">
        <v>45815</v>
      </c>
      <c r="T482" s="18" t="s">
        <v>5501</v>
      </c>
      <c r="U482" s="18" t="s">
        <v>5123</v>
      </c>
      <c r="V482" s="18" t="s">
        <v>106</v>
      </c>
      <c r="W482" s="18" t="s">
        <v>5211</v>
      </c>
      <c r="Y482" s="18" t="s">
        <v>5212</v>
      </c>
      <c r="Z482" s="18" t="s">
        <v>106</v>
      </c>
      <c r="AA482" s="18" t="s">
        <v>5163</v>
      </c>
      <c r="AB482" s="18" t="s">
        <v>179</v>
      </c>
      <c r="AC482" s="18" t="s">
        <v>5127</v>
      </c>
      <c r="AD482" s="18" t="s">
        <v>111</v>
      </c>
      <c r="AE482" s="18" t="s">
        <v>5127</v>
      </c>
      <c r="AF482" s="18" t="s">
        <v>111</v>
      </c>
      <c r="AG482" s="18" t="s">
        <v>5127</v>
      </c>
      <c r="AH482" s="18" t="s">
        <v>5127</v>
      </c>
      <c r="AI482" s="18">
        <v>3</v>
      </c>
      <c r="AK482" s="18" t="s">
        <v>5164</v>
      </c>
      <c r="AN482" s="18" t="s">
        <v>6609</v>
      </c>
      <c r="AO482" s="18" t="s">
        <v>5165</v>
      </c>
      <c r="AP482" s="18" t="s">
        <v>6610</v>
      </c>
      <c r="AQ482" s="18" t="s">
        <v>5216</v>
      </c>
      <c r="AR482" s="18" t="s">
        <v>5803</v>
      </c>
      <c r="AT482" s="17">
        <f>(365*D482*0.7)/1000</f>
        <v>5187.6719999999996</v>
      </c>
      <c r="AU482" s="17">
        <f t="shared" si="25"/>
        <v>2.393275</v>
      </c>
      <c r="AV482" s="18">
        <f>2393275/1000000</f>
        <v>2.393275</v>
      </c>
      <c r="AW482" s="18">
        <v>0</v>
      </c>
      <c r="AY482" s="18" t="s">
        <v>5473</v>
      </c>
      <c r="AZ482" s="18">
        <v>0</v>
      </c>
      <c r="BA482" s="18">
        <v>0</v>
      </c>
      <c r="BB482" s="18">
        <v>0</v>
      </c>
      <c r="BD482" s="18" t="s">
        <v>6611</v>
      </c>
      <c r="BE482" s="18">
        <v>0</v>
      </c>
      <c r="BG482" s="18" t="s">
        <v>6612</v>
      </c>
      <c r="BH482" s="18">
        <v>0</v>
      </c>
      <c r="BI482" s="18">
        <v>0</v>
      </c>
      <c r="BJ482" s="18">
        <v>0</v>
      </c>
      <c r="BQ482" s="18">
        <f>306693/1000</f>
        <v>306.69299999999998</v>
      </c>
      <c r="BR482" s="18">
        <f>305681/1000</f>
        <v>305.68099999999998</v>
      </c>
      <c r="BS482" s="18">
        <f>58430/1000</f>
        <v>58.43</v>
      </c>
      <c r="BT482" s="18">
        <f>79191/1000</f>
        <v>79.191000000000003</v>
      </c>
      <c r="BU482" s="18">
        <f>137.67</f>
        <v>137.66999999999999</v>
      </c>
      <c r="BV482" s="18">
        <f>SUM(BQ482:BU482)</f>
        <v>887.66499999999996</v>
      </c>
      <c r="BW482" s="15">
        <f t="shared" si="26"/>
        <v>887.66499999999996</v>
      </c>
      <c r="BY482" s="18" t="s">
        <v>6613</v>
      </c>
      <c r="BZ482" s="18" t="s">
        <v>6614</v>
      </c>
      <c r="CD482" s="18" t="s">
        <v>5127</v>
      </c>
      <c r="CE482" s="18" t="s">
        <v>111</v>
      </c>
      <c r="CF482" s="18" t="s">
        <v>5282</v>
      </c>
      <c r="CG482" s="18" t="s">
        <v>5427</v>
      </c>
      <c r="CH482" s="18" t="s">
        <v>111</v>
      </c>
      <c r="CI482" s="18" t="s">
        <v>5195</v>
      </c>
      <c r="CJ482" s="18" t="s">
        <v>5680</v>
      </c>
      <c r="CK482" s="18" t="s">
        <v>5625</v>
      </c>
      <c r="CL482" s="18">
        <v>1</v>
      </c>
      <c r="CM482" s="18">
        <v>3</v>
      </c>
      <c r="CN482" s="18">
        <v>0</v>
      </c>
      <c r="CO482" s="18">
        <v>1</v>
      </c>
      <c r="CP482" s="18">
        <v>1</v>
      </c>
      <c r="CQ482" s="18">
        <v>0</v>
      </c>
      <c r="CR482" s="18">
        <v>0</v>
      </c>
      <c r="CS482" s="18" t="s">
        <v>5141</v>
      </c>
      <c r="CT482" s="18">
        <v>0</v>
      </c>
      <c r="CU482" s="18">
        <v>0</v>
      </c>
      <c r="CV482" s="18">
        <v>0</v>
      </c>
      <c r="CX482" s="18" t="s">
        <v>6615</v>
      </c>
      <c r="CY482" s="18">
        <v>1</v>
      </c>
      <c r="CZ482" s="18" t="s">
        <v>5358</v>
      </c>
      <c r="DA482" s="18">
        <v>0</v>
      </c>
      <c r="DB482" s="18">
        <v>0</v>
      </c>
      <c r="DC482" s="18">
        <v>0</v>
      </c>
      <c r="DD482" s="18">
        <v>0</v>
      </c>
      <c r="DE482" s="18">
        <v>0</v>
      </c>
      <c r="DF482" s="18">
        <v>0</v>
      </c>
      <c r="DG482" s="18">
        <v>0</v>
      </c>
      <c r="DH482" s="18">
        <v>0</v>
      </c>
      <c r="DI482" s="18" t="s">
        <v>5141</v>
      </c>
      <c r="DK482" s="18">
        <v>0</v>
      </c>
      <c r="DL482" s="18">
        <v>0</v>
      </c>
      <c r="DM482" s="18" t="s">
        <v>5127</v>
      </c>
      <c r="DN482" s="18" t="s">
        <v>5314</v>
      </c>
      <c r="DO482" s="18" t="s">
        <v>5371</v>
      </c>
      <c r="DP482" s="18" t="s">
        <v>106</v>
      </c>
      <c r="DQ482" s="18" t="s">
        <v>179</v>
      </c>
      <c r="DS482" s="18">
        <v>70095</v>
      </c>
      <c r="DT482" s="18">
        <v>1</v>
      </c>
      <c r="DU482" s="18">
        <v>1</v>
      </c>
      <c r="DV482" s="18" t="s">
        <v>5301</v>
      </c>
      <c r="DX482" s="18" t="s">
        <v>5201</v>
      </c>
      <c r="DY482" s="18" t="s">
        <v>113</v>
      </c>
      <c r="DZ482" s="18" t="s">
        <v>106</v>
      </c>
      <c r="EA482" s="18" t="s">
        <v>5202</v>
      </c>
      <c r="EB482" s="18">
        <v>815284</v>
      </c>
      <c r="EC482" s="18" t="s">
        <v>113</v>
      </c>
      <c r="ED482" s="18" t="s">
        <v>5147</v>
      </c>
      <c r="EE482" s="18" t="s">
        <v>106</v>
      </c>
      <c r="EF482" s="18" t="s">
        <v>113</v>
      </c>
      <c r="EG482" s="18" t="s">
        <v>5148</v>
      </c>
      <c r="EH482" s="18" t="s">
        <v>5203</v>
      </c>
      <c r="EI482" s="18" t="s">
        <v>5204</v>
      </c>
      <c r="EJ482" s="18" t="s">
        <v>5304</v>
      </c>
      <c r="EK482" s="18" t="s">
        <v>113</v>
      </c>
      <c r="EL482" s="18" t="s">
        <v>6616</v>
      </c>
      <c r="EM482" s="18" t="s">
        <v>6617</v>
      </c>
      <c r="EN482" s="18" t="s">
        <v>106</v>
      </c>
      <c r="EO482" s="18" t="s">
        <v>113</v>
      </c>
      <c r="EP482" s="18" t="s">
        <v>113</v>
      </c>
      <c r="EQ482" s="18" t="s">
        <v>113</v>
      </c>
      <c r="ER482" s="18" t="s">
        <v>5206</v>
      </c>
      <c r="ES482" s="18" t="s">
        <v>5153</v>
      </c>
      <c r="ET482" s="18" t="s">
        <v>5154</v>
      </c>
      <c r="EV482" s="18" t="s">
        <v>179</v>
      </c>
      <c r="EW482" s="18" t="s">
        <v>179</v>
      </c>
      <c r="EX482" s="18" t="s">
        <v>5158</v>
      </c>
      <c r="EY482" s="18" t="s">
        <v>5640</v>
      </c>
      <c r="EZ482" s="18" t="s">
        <v>6618</v>
      </c>
      <c r="FA482" s="18" t="s">
        <v>144</v>
      </c>
      <c r="FB482" s="18" t="s">
        <v>5161</v>
      </c>
    </row>
    <row r="483" spans="1:158" ht="10.5" customHeight="1" x14ac:dyDescent="0.2">
      <c r="A483" s="18">
        <v>41</v>
      </c>
      <c r="B483" s="18" t="s">
        <v>4748</v>
      </c>
      <c r="C483" s="18" t="s">
        <v>4747</v>
      </c>
      <c r="D483" s="18">
        <v>18279</v>
      </c>
      <c r="E483" s="16" t="s">
        <v>6658</v>
      </c>
      <c r="F483" s="18" t="s">
        <v>4747</v>
      </c>
      <c r="G483" s="18" t="s">
        <v>106</v>
      </c>
      <c r="H483" s="15" t="s">
        <v>5127</v>
      </c>
      <c r="I483" s="18">
        <v>27</v>
      </c>
      <c r="J483" s="18">
        <v>17</v>
      </c>
      <c r="K483" s="18">
        <v>10</v>
      </c>
      <c r="L483" s="18">
        <v>0</v>
      </c>
      <c r="M483" s="18" t="s">
        <v>5183</v>
      </c>
      <c r="N483" s="18" t="s">
        <v>6619</v>
      </c>
      <c r="O483" s="18">
        <v>46010</v>
      </c>
      <c r="T483" s="18" t="s">
        <v>5382</v>
      </c>
      <c r="U483" s="18" t="s">
        <v>5250</v>
      </c>
      <c r="V483" s="18" t="s">
        <v>106</v>
      </c>
      <c r="W483" s="18" t="s">
        <v>5124</v>
      </c>
      <c r="Y483" s="18" t="s">
        <v>5232</v>
      </c>
      <c r="Z483" s="18" t="s">
        <v>106</v>
      </c>
      <c r="AA483" s="18" t="s">
        <v>5163</v>
      </c>
      <c r="AB483" s="18" t="s">
        <v>179</v>
      </c>
      <c r="AC483" s="18" t="s">
        <v>5127</v>
      </c>
      <c r="AD483" s="18" t="s">
        <v>5127</v>
      </c>
      <c r="AE483" s="18" t="s">
        <v>5127</v>
      </c>
      <c r="AF483" s="18" t="s">
        <v>111</v>
      </c>
      <c r="AG483" s="18" t="s">
        <v>5127</v>
      </c>
      <c r="AH483" s="18" t="s">
        <v>111</v>
      </c>
      <c r="AI483" s="18">
        <v>2</v>
      </c>
      <c r="AK483" s="18" t="s">
        <v>5164</v>
      </c>
      <c r="AN483" s="18">
        <v>0</v>
      </c>
      <c r="AO483" s="18" t="s">
        <v>5186</v>
      </c>
      <c r="AP483" s="18" t="s">
        <v>6620</v>
      </c>
      <c r="AQ483" s="18" t="s">
        <v>164</v>
      </c>
      <c r="AR483" s="18" t="s">
        <v>5168</v>
      </c>
      <c r="AT483" s="17">
        <f>(365*D483*0.7)/1000</f>
        <v>4670.2844999999998</v>
      </c>
      <c r="AU483" s="17">
        <f t="shared" si="25"/>
        <v>0</v>
      </c>
      <c r="AV483" s="18">
        <v>0</v>
      </c>
      <c r="AW483" s="18">
        <v>0</v>
      </c>
      <c r="AY483" s="18" t="s">
        <v>5334</v>
      </c>
      <c r="AZ483" s="18">
        <v>0</v>
      </c>
      <c r="BD483" s="18">
        <v>0</v>
      </c>
      <c r="BG483" s="18" t="s">
        <v>5369</v>
      </c>
      <c r="BH483" s="18">
        <v>0</v>
      </c>
      <c r="BQ483" s="18">
        <v>0</v>
      </c>
      <c r="BR483" s="18">
        <v>0</v>
      </c>
      <c r="BS483" s="18">
        <v>0</v>
      </c>
      <c r="BT483" s="18">
        <v>0</v>
      </c>
      <c r="BU483" s="18">
        <v>0</v>
      </c>
      <c r="BV483" s="18">
        <v>0</v>
      </c>
      <c r="BW483" s="15">
        <f t="shared" si="26"/>
        <v>0</v>
      </c>
      <c r="BY483" s="18" t="s">
        <v>5239</v>
      </c>
      <c r="BZ483" s="18" t="s">
        <v>193</v>
      </c>
      <c r="CD483" s="18" t="s">
        <v>5127</v>
      </c>
      <c r="CE483" s="18" t="s">
        <v>111</v>
      </c>
      <c r="CF483" s="18" t="s">
        <v>5282</v>
      </c>
      <c r="CG483" s="18" t="s">
        <v>5193</v>
      </c>
      <c r="CH483" s="18" t="s">
        <v>5137</v>
      </c>
      <c r="CI483" s="18" t="s">
        <v>5195</v>
      </c>
      <c r="CJ483" s="18" t="s">
        <v>5196</v>
      </c>
      <c r="CK483" s="18" t="s">
        <v>5197</v>
      </c>
      <c r="CL483" s="18">
        <v>2</v>
      </c>
      <c r="CM483" s="18">
        <v>0</v>
      </c>
      <c r="CN483" s="18">
        <v>0</v>
      </c>
      <c r="CO483" s="18">
        <v>4</v>
      </c>
      <c r="CP483" s="18">
        <v>3</v>
      </c>
      <c r="CQ483" s="18">
        <v>1</v>
      </c>
      <c r="CR483" s="18">
        <v>0</v>
      </c>
      <c r="CS483" s="18" t="s">
        <v>5141</v>
      </c>
      <c r="CT483" s="18">
        <v>1</v>
      </c>
      <c r="CU483" s="18">
        <v>2</v>
      </c>
      <c r="CV483" s="18" t="s">
        <v>5141</v>
      </c>
      <c r="CX483" s="18">
        <v>0</v>
      </c>
      <c r="CY483" s="18">
        <v>0</v>
      </c>
      <c r="CZ483" s="18">
        <v>0</v>
      </c>
      <c r="DA483" s="18">
        <v>2</v>
      </c>
      <c r="DB483" s="18">
        <v>0</v>
      </c>
      <c r="DC483" s="18">
        <v>0</v>
      </c>
      <c r="DD483" s="18">
        <v>1</v>
      </c>
      <c r="DE483" s="18" t="s">
        <v>5141</v>
      </c>
      <c r="DF483" s="18" t="s">
        <v>5141</v>
      </c>
      <c r="DG483" s="18">
        <v>0</v>
      </c>
      <c r="DH483" s="18">
        <v>0</v>
      </c>
      <c r="DI483" s="18" t="s">
        <v>5141</v>
      </c>
      <c r="DK483" s="18">
        <v>0</v>
      </c>
      <c r="DL483" s="18">
        <v>1</v>
      </c>
      <c r="DM483" s="18" t="s">
        <v>5127</v>
      </c>
      <c r="DN483" s="18" t="s">
        <v>5172</v>
      </c>
      <c r="DO483" s="18" t="s">
        <v>5300</v>
      </c>
      <c r="DP483" s="18" t="s">
        <v>113</v>
      </c>
      <c r="DQ483" s="18" t="s">
        <v>5168</v>
      </c>
      <c r="DS483" s="18">
        <v>0</v>
      </c>
      <c r="DT483" s="18">
        <v>2</v>
      </c>
      <c r="DU483" s="18">
        <v>3</v>
      </c>
      <c r="DV483" s="18" t="s">
        <v>5444</v>
      </c>
      <c r="DX483" s="18" t="s">
        <v>5222</v>
      </c>
      <c r="DY483" s="18" t="s">
        <v>106</v>
      </c>
      <c r="DZ483" s="18" t="s">
        <v>113</v>
      </c>
      <c r="EA483" s="18" t="s">
        <v>5285</v>
      </c>
      <c r="EB483" s="18">
        <v>0</v>
      </c>
      <c r="EC483" s="18" t="s">
        <v>113</v>
      </c>
      <c r="ED483" s="18" t="s">
        <v>5176</v>
      </c>
      <c r="EE483" s="18" t="s">
        <v>106</v>
      </c>
      <c r="EF483" s="18" t="s">
        <v>113</v>
      </c>
      <c r="EG483" s="18" t="s">
        <v>5148</v>
      </c>
      <c r="EH483" s="18" t="s">
        <v>5203</v>
      </c>
      <c r="EI483" s="18" t="s">
        <v>5204</v>
      </c>
      <c r="EJ483" s="18" t="s">
        <v>5412</v>
      </c>
      <c r="EK483" s="18" t="s">
        <v>113</v>
      </c>
      <c r="EL483" s="18" t="s">
        <v>6621</v>
      </c>
      <c r="EM483" s="18" t="s">
        <v>5227</v>
      </c>
      <c r="EN483" s="18" t="s">
        <v>113</v>
      </c>
      <c r="EO483" s="18" t="s">
        <v>113</v>
      </c>
      <c r="EP483" s="18" t="s">
        <v>113</v>
      </c>
      <c r="EQ483" s="18" t="s">
        <v>113</v>
      </c>
      <c r="ER483" s="18" t="s">
        <v>5206</v>
      </c>
      <c r="ES483" s="18" t="s">
        <v>5153</v>
      </c>
      <c r="ET483" s="18" t="s">
        <v>5154</v>
      </c>
      <c r="EU483" s="18" t="s">
        <v>5155</v>
      </c>
      <c r="EV483" s="18" t="s">
        <v>6622</v>
      </c>
      <c r="EW483" s="18" t="s">
        <v>6450</v>
      </c>
      <c r="EX483" s="18" t="s">
        <v>5158</v>
      </c>
      <c r="EY483" s="18" t="s">
        <v>5181</v>
      </c>
      <c r="EZ483" s="18" t="s">
        <v>5160</v>
      </c>
      <c r="FA483" s="18" t="s">
        <v>144</v>
      </c>
      <c r="FB483" s="18" t="s">
        <v>5161</v>
      </c>
    </row>
    <row r="484" spans="1:158" ht="10.5" customHeight="1" x14ac:dyDescent="0.2">
      <c r="A484" s="18">
        <v>41</v>
      </c>
      <c r="B484" s="18" t="s">
        <v>4761</v>
      </c>
      <c r="C484" s="18" t="s">
        <v>4760</v>
      </c>
      <c r="D484" s="18">
        <v>158620</v>
      </c>
      <c r="E484" s="16" t="s">
        <v>6657</v>
      </c>
      <c r="F484" s="18" t="s">
        <v>4760</v>
      </c>
      <c r="G484" s="18" t="s">
        <v>106</v>
      </c>
      <c r="H484" s="15" t="s">
        <v>5127</v>
      </c>
      <c r="I484" s="18">
        <v>69</v>
      </c>
      <c r="J484" s="18">
        <v>38</v>
      </c>
      <c r="K484" s="18">
        <v>31</v>
      </c>
      <c r="L484" s="18">
        <v>0</v>
      </c>
      <c r="M484" s="18" t="s">
        <v>5183</v>
      </c>
      <c r="N484" s="18" t="s">
        <v>6623</v>
      </c>
      <c r="O484" s="18">
        <v>46104</v>
      </c>
      <c r="T484" s="18" t="s">
        <v>6586</v>
      </c>
      <c r="U484" s="18" t="s">
        <v>5185</v>
      </c>
      <c r="V484" s="18" t="s">
        <v>106</v>
      </c>
      <c r="W484" s="18" t="s">
        <v>5211</v>
      </c>
      <c r="Y484" s="18" t="s">
        <v>5232</v>
      </c>
      <c r="Z484" s="18" t="s">
        <v>106</v>
      </c>
      <c r="AA484" s="18" t="s">
        <v>5163</v>
      </c>
      <c r="AB484" s="18" t="s">
        <v>5213</v>
      </c>
      <c r="AC484" s="18" t="s">
        <v>5127</v>
      </c>
      <c r="AD484" s="18" t="s">
        <v>5127</v>
      </c>
      <c r="AE484" s="18" t="s">
        <v>5127</v>
      </c>
      <c r="AF484" s="18" t="s">
        <v>5127</v>
      </c>
      <c r="AG484" s="18" t="s">
        <v>5127</v>
      </c>
      <c r="AH484" s="18" t="s">
        <v>5127</v>
      </c>
      <c r="AI484" s="18">
        <v>2</v>
      </c>
      <c r="AK484" s="18" t="s">
        <v>5164</v>
      </c>
      <c r="AN484" s="18">
        <v>0</v>
      </c>
      <c r="AO484" s="18" t="s">
        <v>5186</v>
      </c>
      <c r="AP484" s="18" t="s">
        <v>6624</v>
      </c>
      <c r="AQ484" s="18" t="s">
        <v>6625</v>
      </c>
      <c r="AR484" s="18" t="s">
        <v>5132</v>
      </c>
      <c r="AT484" s="17">
        <f>(365*D484*0.7)/1000</f>
        <v>40527.410000000003</v>
      </c>
      <c r="AU484" s="17">
        <f t="shared" si="25"/>
        <v>0</v>
      </c>
      <c r="AV484" s="18">
        <v>0</v>
      </c>
      <c r="AW484" s="18">
        <v>0</v>
      </c>
      <c r="AY484" s="18" t="s">
        <v>5237</v>
      </c>
      <c r="AZ484" s="18">
        <f>10000/1000</f>
        <v>10</v>
      </c>
      <c r="BA484" s="18">
        <v>0</v>
      </c>
      <c r="BB484" s="18">
        <v>100</v>
      </c>
      <c r="BD484" s="18">
        <v>120</v>
      </c>
      <c r="BE484" s="18">
        <v>0</v>
      </c>
      <c r="BG484" s="18" t="s">
        <v>5549</v>
      </c>
      <c r="BH484" s="18">
        <f>500/1000</f>
        <v>0.5</v>
      </c>
      <c r="BJ484" s="18">
        <v>0</v>
      </c>
      <c r="BQ484" s="18">
        <v>468</v>
      </c>
      <c r="BR484" s="18">
        <v>560</v>
      </c>
      <c r="BS484" s="18">
        <v>460</v>
      </c>
      <c r="BT484" s="18">
        <v>600</v>
      </c>
      <c r="BU484" s="18">
        <v>100</v>
      </c>
      <c r="BV484" s="18">
        <f>SUM(BQ484:BU484)</f>
        <v>2188</v>
      </c>
      <c r="BW484" s="15">
        <f t="shared" si="26"/>
        <v>2188</v>
      </c>
      <c r="BY484" s="18" t="s">
        <v>5134</v>
      </c>
      <c r="BZ484" s="18" t="s">
        <v>6185</v>
      </c>
      <c r="CD484" s="18" t="s">
        <v>5127</v>
      </c>
      <c r="CE484" s="18" t="s">
        <v>5127</v>
      </c>
      <c r="CF484" s="18" t="s">
        <v>5282</v>
      </c>
      <c r="CG484" s="18" t="s">
        <v>5193</v>
      </c>
      <c r="CH484" s="18" t="s">
        <v>5241</v>
      </c>
      <c r="CI484" s="18" t="s">
        <v>5195</v>
      </c>
      <c r="CJ484" s="18" t="s">
        <v>5196</v>
      </c>
      <c r="CK484" s="18" t="s">
        <v>5197</v>
      </c>
      <c r="CL484" s="18">
        <v>4</v>
      </c>
      <c r="CM484" s="18">
        <v>4</v>
      </c>
      <c r="CN484" s="18">
        <v>0</v>
      </c>
      <c r="CO484" s="18">
        <v>1</v>
      </c>
      <c r="CP484" s="18">
        <v>0</v>
      </c>
      <c r="CQ484" s="18">
        <v>1</v>
      </c>
      <c r="CR484" s="18">
        <v>0</v>
      </c>
      <c r="CS484" s="18" t="s">
        <v>5141</v>
      </c>
      <c r="CT484" s="18">
        <v>1</v>
      </c>
      <c r="CU484" s="18">
        <v>5</v>
      </c>
      <c r="CV484" s="18" t="s">
        <v>5141</v>
      </c>
      <c r="CX484" s="18">
        <v>2</v>
      </c>
      <c r="CY484" s="18">
        <v>2</v>
      </c>
      <c r="CZ484" s="18">
        <v>4</v>
      </c>
      <c r="DA484" s="18">
        <v>0</v>
      </c>
      <c r="DB484" s="18">
        <v>4</v>
      </c>
      <c r="DC484" s="18">
        <v>1</v>
      </c>
      <c r="DD484" s="18">
        <v>1</v>
      </c>
      <c r="DE484" s="18">
        <v>0</v>
      </c>
      <c r="DF484" s="18" t="s">
        <v>5141</v>
      </c>
      <c r="DG484" s="18">
        <v>2</v>
      </c>
      <c r="DH484" s="18">
        <v>5</v>
      </c>
      <c r="DI484" s="18" t="s">
        <v>5141</v>
      </c>
      <c r="DK484" s="18">
        <v>0</v>
      </c>
      <c r="DL484" s="18">
        <v>1</v>
      </c>
      <c r="DM484" s="18" t="s">
        <v>5127</v>
      </c>
      <c r="DN484" s="18" t="s">
        <v>5258</v>
      </c>
      <c r="DO484" s="18" t="s">
        <v>5705</v>
      </c>
      <c r="DP484" s="18" t="s">
        <v>113</v>
      </c>
      <c r="DQ484" s="18" t="s">
        <v>5132</v>
      </c>
      <c r="DS484" s="18">
        <v>0</v>
      </c>
      <c r="DT484" s="18">
        <v>1</v>
      </c>
      <c r="DU484" s="18">
        <v>1</v>
      </c>
      <c r="DV484" s="18" t="s">
        <v>6626</v>
      </c>
      <c r="DX484" s="18" t="s">
        <v>5222</v>
      </c>
      <c r="DY484" s="18" t="s">
        <v>106</v>
      </c>
      <c r="DZ484" s="18" t="s">
        <v>106</v>
      </c>
      <c r="EA484" s="18" t="s">
        <v>5202</v>
      </c>
      <c r="EB484" s="18">
        <v>0</v>
      </c>
      <c r="EC484" s="18" t="s">
        <v>106</v>
      </c>
      <c r="ED484" s="18" t="s">
        <v>5147</v>
      </c>
      <c r="EE484" s="18" t="s">
        <v>106</v>
      </c>
      <c r="EF484" s="18" t="s">
        <v>106</v>
      </c>
      <c r="EG484" s="18" t="s">
        <v>5404</v>
      </c>
      <c r="EH484" s="18" t="s">
        <v>5203</v>
      </c>
      <c r="EI484" s="18" t="s">
        <v>5204</v>
      </c>
      <c r="EJ484" s="18" t="s">
        <v>5245</v>
      </c>
      <c r="EK484" s="18" t="s">
        <v>113</v>
      </c>
      <c r="EL484" s="18" t="s">
        <v>2555</v>
      </c>
      <c r="EM484" s="18" t="s">
        <v>6627</v>
      </c>
      <c r="EN484" s="18" t="s">
        <v>113</v>
      </c>
      <c r="EO484" s="18" t="s">
        <v>113</v>
      </c>
      <c r="EP484" s="18" t="s">
        <v>113</v>
      </c>
      <c r="EQ484" s="18" t="s">
        <v>113</v>
      </c>
      <c r="ER484" s="18" t="s">
        <v>5206</v>
      </c>
      <c r="ES484" s="18" t="s">
        <v>5153</v>
      </c>
      <c r="ET484" s="18" t="s">
        <v>5154</v>
      </c>
      <c r="EU484" s="18" t="s">
        <v>5155</v>
      </c>
      <c r="EV484" s="18" t="s">
        <v>6277</v>
      </c>
      <c r="EW484" s="18" t="s">
        <v>6024</v>
      </c>
      <c r="EX484" s="18" t="s">
        <v>5158</v>
      </c>
      <c r="EY484" s="18" t="s">
        <v>6228</v>
      </c>
      <c r="EZ484" s="18" t="s">
        <v>5182</v>
      </c>
      <c r="FA484" s="18" t="s">
        <v>144</v>
      </c>
      <c r="FB484" s="18" t="s">
        <v>5161</v>
      </c>
    </row>
    <row r="485" spans="1:158" ht="10.5" customHeight="1" x14ac:dyDescent="0.2">
      <c r="A485" s="18">
        <v>41</v>
      </c>
      <c r="B485" s="18" t="s">
        <v>4783</v>
      </c>
      <c r="C485" s="18" t="s">
        <v>4782</v>
      </c>
      <c r="D485" s="18">
        <v>8495</v>
      </c>
      <c r="E485" s="16" t="s">
        <v>6656</v>
      </c>
      <c r="H485" s="15" t="s">
        <v>6661</v>
      </c>
      <c r="AT485" s="17">
        <f>(365*D485*0.7)/1000</f>
        <v>2170.4724999999999</v>
      </c>
      <c r="AU485" s="17">
        <f t="shared" si="25"/>
        <v>0</v>
      </c>
      <c r="BW485" s="15">
        <f t="shared" si="26"/>
        <v>0</v>
      </c>
    </row>
    <row r="486" spans="1:158" ht="10.5" customHeight="1" x14ac:dyDescent="0.2">
      <c r="A486" s="18">
        <v>41</v>
      </c>
      <c r="B486" s="18" t="s">
        <v>4795</v>
      </c>
      <c r="C486" s="18" t="s">
        <v>4794</v>
      </c>
      <c r="D486" s="18">
        <v>11197</v>
      </c>
      <c r="E486" s="16" t="s">
        <v>6656</v>
      </c>
      <c r="F486" s="18" t="s">
        <v>4794</v>
      </c>
      <c r="G486" s="18" t="s">
        <v>106</v>
      </c>
      <c r="H486" s="15" t="s">
        <v>5127</v>
      </c>
      <c r="I486" s="18">
        <v>12</v>
      </c>
      <c r="J486" s="18">
        <v>1</v>
      </c>
      <c r="K486" s="18">
        <v>11</v>
      </c>
      <c r="L486" s="18">
        <v>0</v>
      </c>
      <c r="M486" s="18" t="s">
        <v>5230</v>
      </c>
      <c r="N486" s="18" t="s">
        <v>6628</v>
      </c>
      <c r="O486" s="18">
        <v>46648</v>
      </c>
      <c r="T486" s="18" t="s">
        <v>5382</v>
      </c>
      <c r="U486" s="18" t="s">
        <v>5123</v>
      </c>
      <c r="V486" s="18" t="s">
        <v>106</v>
      </c>
      <c r="W486" s="18" t="s">
        <v>5211</v>
      </c>
      <c r="Y486" s="18" t="s">
        <v>5212</v>
      </c>
      <c r="Z486" s="18" t="s">
        <v>106</v>
      </c>
      <c r="AA486" s="18" t="s">
        <v>5163</v>
      </c>
      <c r="AB486" s="18" t="s">
        <v>179</v>
      </c>
      <c r="AC486" s="18" t="s">
        <v>5127</v>
      </c>
      <c r="AD486" s="18" t="s">
        <v>5127</v>
      </c>
      <c r="AE486" s="18" t="s">
        <v>5127</v>
      </c>
      <c r="AF486" s="18" t="s">
        <v>5127</v>
      </c>
      <c r="AG486" s="18" t="s">
        <v>5127</v>
      </c>
      <c r="AH486" s="18" t="s">
        <v>5127</v>
      </c>
      <c r="AI486" s="18">
        <v>1</v>
      </c>
      <c r="AK486" s="18" t="s">
        <v>5164</v>
      </c>
      <c r="AN486" s="18">
        <v>320</v>
      </c>
      <c r="AO486" s="18" t="s">
        <v>5165</v>
      </c>
      <c r="AP486" s="18" t="s">
        <v>5456</v>
      </c>
      <c r="AQ486" s="18" t="s">
        <v>6223</v>
      </c>
      <c r="AR486" s="18" t="s">
        <v>5168</v>
      </c>
      <c r="AT486" s="17">
        <f>(365*D486*0.7)/1000</f>
        <v>2860.8335000000002</v>
      </c>
      <c r="AU486" s="17">
        <f t="shared" si="25"/>
        <v>15</v>
      </c>
      <c r="AV486" s="18">
        <v>15</v>
      </c>
      <c r="AW486" s="18">
        <v>0</v>
      </c>
      <c r="AY486" s="18" t="s">
        <v>5583</v>
      </c>
      <c r="BG486" s="18" t="s">
        <v>5375</v>
      </c>
      <c r="BQ486" s="18">
        <v>80</v>
      </c>
      <c r="BR486" s="18">
        <v>80</v>
      </c>
      <c r="BS486" s="18">
        <v>50</v>
      </c>
      <c r="BT486" s="18">
        <v>20</v>
      </c>
      <c r="BU486" s="18">
        <v>0</v>
      </c>
      <c r="BV486" s="18">
        <f>SUM(BQ486:BU486)</f>
        <v>230</v>
      </c>
      <c r="BW486" s="15">
        <f t="shared" si="26"/>
        <v>230</v>
      </c>
      <c r="BY486" s="18" t="s">
        <v>6629</v>
      </c>
      <c r="BZ486" s="18" t="s">
        <v>6441</v>
      </c>
      <c r="CD486" s="18" t="s">
        <v>5127</v>
      </c>
      <c r="CE486" s="18" t="s">
        <v>5127</v>
      </c>
      <c r="CF486" s="18" t="s">
        <v>5282</v>
      </c>
      <c r="CG486" s="18" t="s">
        <v>5193</v>
      </c>
      <c r="CH486" s="18" t="s">
        <v>5241</v>
      </c>
      <c r="CI486" s="18" t="s">
        <v>5195</v>
      </c>
      <c r="CJ486" s="18" t="s">
        <v>5196</v>
      </c>
      <c r="CK486" s="18" t="s">
        <v>5197</v>
      </c>
      <c r="CL486" s="18">
        <v>2</v>
      </c>
      <c r="CM486" s="18">
        <v>0</v>
      </c>
      <c r="CN486" s="18">
        <v>1</v>
      </c>
      <c r="CO486" s="18">
        <v>1</v>
      </c>
      <c r="CP486" s="18">
        <v>2</v>
      </c>
      <c r="CQ486" s="18">
        <v>2</v>
      </c>
      <c r="CR486" s="18">
        <v>2</v>
      </c>
      <c r="CS486" s="18" t="s">
        <v>5141</v>
      </c>
      <c r="CT486" s="18">
        <v>1</v>
      </c>
      <c r="CU486" s="18">
        <v>0</v>
      </c>
      <c r="CV486" s="18" t="s">
        <v>5141</v>
      </c>
      <c r="CX486" s="18">
        <v>1</v>
      </c>
      <c r="CY486" s="18">
        <v>1</v>
      </c>
      <c r="CZ486" s="18">
        <v>0</v>
      </c>
      <c r="DA486" s="18">
        <v>0</v>
      </c>
      <c r="DB486" s="18">
        <v>1</v>
      </c>
      <c r="DC486" s="18">
        <v>1</v>
      </c>
      <c r="DD486" s="18">
        <v>0</v>
      </c>
      <c r="DE486" s="18">
        <v>2</v>
      </c>
      <c r="DF486" s="18" t="s">
        <v>5141</v>
      </c>
      <c r="DG486" s="18">
        <v>0</v>
      </c>
      <c r="DH486" s="18">
        <v>2</v>
      </c>
      <c r="DI486" s="18" t="s">
        <v>5141</v>
      </c>
      <c r="DK486" s="18">
        <v>0</v>
      </c>
      <c r="DL486" s="18">
        <v>1</v>
      </c>
      <c r="DM486" s="18" t="s">
        <v>5127</v>
      </c>
      <c r="DN486" s="18" t="s">
        <v>5258</v>
      </c>
      <c r="DO486" s="18" t="s">
        <v>5173</v>
      </c>
      <c r="DP486" s="18" t="s">
        <v>113</v>
      </c>
      <c r="DQ486" s="18" t="s">
        <v>179</v>
      </c>
      <c r="DS486" s="18">
        <v>0</v>
      </c>
      <c r="DT486" s="18">
        <v>1</v>
      </c>
      <c r="DU486" s="18">
        <v>0</v>
      </c>
      <c r="DV486" s="18" t="s">
        <v>5822</v>
      </c>
      <c r="DX486" s="18" t="s">
        <v>5222</v>
      </c>
      <c r="DY486" s="18" t="s">
        <v>106</v>
      </c>
      <c r="DZ486" s="18" t="s">
        <v>113</v>
      </c>
      <c r="EA486" s="18" t="s">
        <v>5325</v>
      </c>
      <c r="EB486" s="18">
        <v>320</v>
      </c>
      <c r="EC486" s="18" t="s">
        <v>106</v>
      </c>
      <c r="ED486" s="18" t="s">
        <v>5176</v>
      </c>
      <c r="EE486" s="18" t="s">
        <v>106</v>
      </c>
      <c r="EF486" s="18" t="s">
        <v>113</v>
      </c>
      <c r="EG486" s="18" t="s">
        <v>5386</v>
      </c>
      <c r="EH486" s="18" t="s">
        <v>5203</v>
      </c>
      <c r="EI486" s="18" t="s">
        <v>5204</v>
      </c>
      <c r="EJ486" s="18" t="s">
        <v>5287</v>
      </c>
      <c r="EK486" s="18" t="s">
        <v>5878</v>
      </c>
      <c r="EL486" s="18" t="s">
        <v>6630</v>
      </c>
      <c r="EM486" s="18" t="s">
        <v>5227</v>
      </c>
      <c r="EN486" s="18" t="s">
        <v>113</v>
      </c>
      <c r="EO486" s="18" t="s">
        <v>113</v>
      </c>
      <c r="EP486" s="18" t="s">
        <v>113</v>
      </c>
      <c r="EQ486" s="18" t="s">
        <v>113</v>
      </c>
      <c r="ER486" s="18" t="s">
        <v>5152</v>
      </c>
      <c r="ES486" s="18" t="s">
        <v>5153</v>
      </c>
      <c r="ET486" s="18" t="s">
        <v>5154</v>
      </c>
      <c r="EU486" s="18" t="s">
        <v>5155</v>
      </c>
      <c r="EV486" s="18" t="s">
        <v>5290</v>
      </c>
      <c r="EW486" s="18" t="s">
        <v>5881</v>
      </c>
      <c r="EX486" s="18" t="s">
        <v>5158</v>
      </c>
      <c r="EY486" s="18" t="s">
        <v>6540</v>
      </c>
      <c r="EZ486" s="18" t="s">
        <v>5182</v>
      </c>
      <c r="FA486" s="18" t="s">
        <v>144</v>
      </c>
      <c r="FB486" s="18" t="s">
        <v>5161</v>
      </c>
    </row>
    <row r="487" spans="1:158" ht="10.5" customHeight="1" x14ac:dyDescent="0.2">
      <c r="A487" s="18">
        <v>41</v>
      </c>
      <c r="B487" s="18" t="s">
        <v>1971</v>
      </c>
      <c r="C487" s="18" t="s">
        <v>1972</v>
      </c>
      <c r="D487" s="18">
        <v>6302</v>
      </c>
      <c r="E487" s="16" t="s">
        <v>6656</v>
      </c>
      <c r="H487" s="15" t="s">
        <v>6661</v>
      </c>
      <c r="AT487" s="17">
        <f>(365*D487*0.7)/1000</f>
        <v>1610.1610000000001</v>
      </c>
      <c r="AU487" s="17">
        <f t="shared" si="25"/>
        <v>0</v>
      </c>
      <c r="BW487" s="15">
        <f t="shared" si="26"/>
        <v>0</v>
      </c>
    </row>
    <row r="488" spans="1:158" ht="10.5" customHeight="1" x14ac:dyDescent="0.2">
      <c r="A488" s="18">
        <v>41</v>
      </c>
      <c r="B488" s="18" t="s">
        <v>2455</v>
      </c>
      <c r="C488" s="18" t="s">
        <v>2456</v>
      </c>
      <c r="D488" s="18">
        <v>8095</v>
      </c>
      <c r="E488" s="16" t="s">
        <v>6656</v>
      </c>
      <c r="H488" s="15" t="s">
        <v>6661</v>
      </c>
      <c r="AT488" s="17">
        <f>(365*D488*0.7)/1000</f>
        <v>2068.2724999999996</v>
      </c>
      <c r="AU488" s="17">
        <f t="shared" si="25"/>
        <v>0</v>
      </c>
      <c r="BW488" s="15">
        <f t="shared" si="26"/>
        <v>0</v>
      </c>
    </row>
    <row r="489" spans="1:158" ht="10.5" customHeight="1" x14ac:dyDescent="0.2">
      <c r="A489" s="18">
        <v>41</v>
      </c>
      <c r="B489" s="18" t="s">
        <v>4816</v>
      </c>
      <c r="C489" s="18" t="s">
        <v>4815</v>
      </c>
      <c r="D489" s="18">
        <v>8204</v>
      </c>
      <c r="E489" s="16" t="s">
        <v>6656</v>
      </c>
      <c r="F489" s="18" t="s">
        <v>4815</v>
      </c>
      <c r="G489" s="18" t="s">
        <v>106</v>
      </c>
      <c r="H489" s="15" t="s">
        <v>5127</v>
      </c>
      <c r="I489" s="18">
        <v>4</v>
      </c>
      <c r="J489" s="18">
        <v>3</v>
      </c>
      <c r="K489" s="18">
        <v>1</v>
      </c>
      <c r="L489" s="18">
        <v>0</v>
      </c>
      <c r="M489" s="18" t="s">
        <v>5183</v>
      </c>
      <c r="N489" s="18" t="s">
        <v>6631</v>
      </c>
      <c r="O489" s="18">
        <v>46489</v>
      </c>
      <c r="T489" s="18" t="s">
        <v>111</v>
      </c>
      <c r="U489" s="18" t="s">
        <v>5123</v>
      </c>
      <c r="V489" s="18" t="s">
        <v>106</v>
      </c>
      <c r="W489" s="18" t="s">
        <v>5211</v>
      </c>
      <c r="Y489" s="18" t="s">
        <v>5232</v>
      </c>
      <c r="Z489" s="18" t="s">
        <v>106</v>
      </c>
      <c r="AA489" s="18" t="s">
        <v>5163</v>
      </c>
      <c r="AB489" s="18" t="s">
        <v>5233</v>
      </c>
      <c r="AC489" s="18" t="s">
        <v>5127</v>
      </c>
      <c r="AD489" s="18" t="s">
        <v>5127</v>
      </c>
      <c r="AE489" s="18" t="s">
        <v>5127</v>
      </c>
      <c r="AF489" s="18" t="s">
        <v>5127</v>
      </c>
      <c r="AG489" s="18" t="s">
        <v>5127</v>
      </c>
      <c r="AH489" s="18" t="s">
        <v>5127</v>
      </c>
      <c r="AI489" s="18">
        <v>1</v>
      </c>
      <c r="AK489" s="18" t="s">
        <v>5164</v>
      </c>
      <c r="AN489" s="18">
        <v>96000</v>
      </c>
      <c r="AO489" s="18" t="s">
        <v>5186</v>
      </c>
      <c r="AP489" s="18" t="s">
        <v>6632</v>
      </c>
      <c r="AQ489" s="18" t="s">
        <v>5252</v>
      </c>
      <c r="AR489" s="18" t="s">
        <v>5168</v>
      </c>
      <c r="AT489" s="17">
        <f>(365*D489*0.7)/1000</f>
        <v>2096.1219999999998</v>
      </c>
      <c r="AU489" s="17">
        <f t="shared" si="25"/>
        <v>48</v>
      </c>
      <c r="AV489" s="18">
        <f>48000/1000</f>
        <v>48</v>
      </c>
      <c r="AW489" s="18">
        <v>0</v>
      </c>
      <c r="AY489" s="18" t="s">
        <v>5237</v>
      </c>
      <c r="BG489" s="18" t="s">
        <v>164</v>
      </c>
      <c r="BQ489" s="18">
        <f>25000/1000</f>
        <v>25</v>
      </c>
      <c r="BR489" s="18">
        <f>25000/1000</f>
        <v>25</v>
      </c>
      <c r="BS489" s="18">
        <f>50000/1000</f>
        <v>50</v>
      </c>
      <c r="BT489" s="18">
        <f>10000/1000</f>
        <v>10</v>
      </c>
      <c r="BU489" s="18">
        <f>10000/1000</f>
        <v>10</v>
      </c>
      <c r="BV489" s="18">
        <f>SUM(BQ489:BU489)</f>
        <v>120</v>
      </c>
      <c r="BW489" s="15">
        <f t="shared" si="26"/>
        <v>120</v>
      </c>
      <c r="BY489" s="18" t="s">
        <v>5134</v>
      </c>
      <c r="BZ489" s="18" t="s">
        <v>5395</v>
      </c>
      <c r="CD489" s="18" t="s">
        <v>5127</v>
      </c>
      <c r="CE489" s="18" t="s">
        <v>5127</v>
      </c>
      <c r="CF489" s="18" t="s">
        <v>5529</v>
      </c>
      <c r="CG489" s="18" t="s">
        <v>5193</v>
      </c>
      <c r="CH489" s="18" t="s">
        <v>5194</v>
      </c>
      <c r="CI489" s="18" t="s">
        <v>5138</v>
      </c>
      <c r="CJ489" s="18" t="s">
        <v>5196</v>
      </c>
      <c r="CK489" s="18" t="s">
        <v>5197</v>
      </c>
      <c r="CL489" s="18">
        <v>1</v>
      </c>
      <c r="CM489" s="18">
        <v>0</v>
      </c>
      <c r="CN489" s="18">
        <v>1</v>
      </c>
      <c r="CO489" s="18">
        <v>1</v>
      </c>
      <c r="CP489" s="18">
        <v>1</v>
      </c>
      <c r="CQ489" s="18">
        <v>1</v>
      </c>
      <c r="CR489" s="18" t="s">
        <v>5141</v>
      </c>
      <c r="CS489" s="18" t="s">
        <v>5141</v>
      </c>
      <c r="CT489" s="18">
        <v>0</v>
      </c>
      <c r="CU489" s="18">
        <v>0</v>
      </c>
      <c r="CV489" s="18" t="s">
        <v>5141</v>
      </c>
      <c r="CX489" s="18">
        <v>1</v>
      </c>
      <c r="CY489" s="18">
        <v>1</v>
      </c>
      <c r="CZ489" s="18">
        <v>1</v>
      </c>
      <c r="DA489" s="18">
        <v>0</v>
      </c>
      <c r="DB489" s="18">
        <v>1</v>
      </c>
      <c r="DC489" s="18">
        <v>1</v>
      </c>
      <c r="DD489" s="18">
        <v>1</v>
      </c>
      <c r="DE489" s="18" t="s">
        <v>5141</v>
      </c>
      <c r="DF489" s="18" t="s">
        <v>5141</v>
      </c>
      <c r="DG489" s="18">
        <v>0</v>
      </c>
      <c r="DH489" s="18">
        <v>0</v>
      </c>
      <c r="DI489" s="18" t="s">
        <v>5141</v>
      </c>
      <c r="DK489" s="18">
        <v>0</v>
      </c>
      <c r="DL489" s="18">
        <v>0</v>
      </c>
      <c r="DM489" s="18" t="s">
        <v>5127</v>
      </c>
      <c r="DN489" s="18" t="s">
        <v>5172</v>
      </c>
      <c r="DO489" s="18" t="s">
        <v>5259</v>
      </c>
      <c r="DP489" s="18" t="s">
        <v>113</v>
      </c>
      <c r="DS489" s="18">
        <v>0</v>
      </c>
      <c r="DT489" s="18">
        <v>1</v>
      </c>
      <c r="DU489" s="18">
        <v>1</v>
      </c>
      <c r="DV489" s="18" t="s">
        <v>5397</v>
      </c>
      <c r="DX489" s="18" t="s">
        <v>5222</v>
      </c>
      <c r="DY489" s="18" t="s">
        <v>106</v>
      </c>
      <c r="DZ489" s="18" t="s">
        <v>113</v>
      </c>
      <c r="EA489" s="18" t="s">
        <v>5146</v>
      </c>
      <c r="EB489" s="18">
        <v>90000</v>
      </c>
      <c r="EC489" s="18" t="s">
        <v>106</v>
      </c>
      <c r="ED489" s="18" t="s">
        <v>5176</v>
      </c>
      <c r="EE489" s="18" t="s">
        <v>113</v>
      </c>
      <c r="EF489" s="18" t="s">
        <v>113</v>
      </c>
      <c r="EG489" s="18" t="s">
        <v>5404</v>
      </c>
      <c r="EH489" s="18" t="s">
        <v>5203</v>
      </c>
      <c r="EI489" s="18" t="s">
        <v>5204</v>
      </c>
      <c r="EJ489" s="18" t="s">
        <v>5287</v>
      </c>
      <c r="EK489" s="18" t="s">
        <v>113</v>
      </c>
      <c r="EL489" s="18" t="s">
        <v>6633</v>
      </c>
      <c r="EM489" s="18" t="s">
        <v>5227</v>
      </c>
      <c r="EN489" s="18" t="s">
        <v>113</v>
      </c>
      <c r="EO489" s="18" t="s">
        <v>113</v>
      </c>
      <c r="EP489" s="18" t="s">
        <v>113</v>
      </c>
      <c r="EQ489" s="18" t="s">
        <v>113</v>
      </c>
      <c r="ER489" s="18" t="s">
        <v>5155</v>
      </c>
      <c r="ES489" s="18" t="s">
        <v>5447</v>
      </c>
      <c r="ET489" s="18" t="s">
        <v>5154</v>
      </c>
      <c r="EU489" s="18" t="s">
        <v>5155</v>
      </c>
      <c r="EV489" s="18" t="s">
        <v>5305</v>
      </c>
      <c r="EW489" s="18" t="s">
        <v>5881</v>
      </c>
      <c r="EX489" s="18" t="s">
        <v>5158</v>
      </c>
      <c r="EY489" s="18" t="s">
        <v>5248</v>
      </c>
      <c r="EZ489" s="18" t="s">
        <v>5160</v>
      </c>
      <c r="FA489" s="18" t="s">
        <v>144</v>
      </c>
      <c r="FB489" s="18" t="s">
        <v>5161</v>
      </c>
    </row>
    <row r="490" spans="1:158" ht="10.5" customHeight="1" x14ac:dyDescent="0.2">
      <c r="A490" s="18">
        <v>41</v>
      </c>
      <c r="B490" s="18" t="s">
        <v>4827</v>
      </c>
      <c r="C490" s="18" t="s">
        <v>4826</v>
      </c>
      <c r="D490" s="18">
        <v>14443</v>
      </c>
      <c r="E490" s="16" t="s">
        <v>6656</v>
      </c>
      <c r="F490" s="18" t="s">
        <v>4826</v>
      </c>
      <c r="G490" s="18" t="s">
        <v>106</v>
      </c>
      <c r="H490" s="15" t="s">
        <v>5127</v>
      </c>
      <c r="I490" s="18">
        <v>10</v>
      </c>
      <c r="J490" s="18">
        <v>5</v>
      </c>
      <c r="K490" s="18">
        <v>5</v>
      </c>
      <c r="L490" s="18">
        <v>0</v>
      </c>
      <c r="M490" s="18" t="s">
        <v>5183</v>
      </c>
      <c r="N490" s="18">
        <v>256573</v>
      </c>
      <c r="O490" s="18">
        <v>46316</v>
      </c>
      <c r="T490" s="18" t="s">
        <v>111</v>
      </c>
      <c r="U490" s="18" t="s">
        <v>5185</v>
      </c>
      <c r="V490" s="18" t="s">
        <v>106</v>
      </c>
      <c r="W490" s="18" t="s">
        <v>5124</v>
      </c>
      <c r="Y490" s="18" t="s">
        <v>5309</v>
      </c>
      <c r="Z490" s="18" t="s">
        <v>106</v>
      </c>
      <c r="AA490" s="18" t="s">
        <v>5163</v>
      </c>
      <c r="AB490" s="18" t="s">
        <v>179</v>
      </c>
      <c r="AC490" s="18" t="s">
        <v>5127</v>
      </c>
      <c r="AD490" s="18" t="s">
        <v>111</v>
      </c>
      <c r="AE490" s="18" t="s">
        <v>5127</v>
      </c>
      <c r="AF490" s="18" t="s">
        <v>5127</v>
      </c>
      <c r="AG490" s="18" t="s">
        <v>5127</v>
      </c>
      <c r="AH490" s="18" t="s">
        <v>111</v>
      </c>
      <c r="AI490" s="18">
        <v>0</v>
      </c>
      <c r="AK490" s="18" t="s">
        <v>5164</v>
      </c>
      <c r="AN490" s="18">
        <v>454919</v>
      </c>
      <c r="AO490" s="18" t="s">
        <v>5129</v>
      </c>
      <c r="AP490" s="18" t="s">
        <v>6634</v>
      </c>
      <c r="AQ490" s="18" t="s">
        <v>5311</v>
      </c>
      <c r="AR490" s="18" t="s">
        <v>5132</v>
      </c>
      <c r="AT490" s="17">
        <f>(365*D490*0.7)/1000</f>
        <v>3690.1864999999993</v>
      </c>
      <c r="AU490" s="17">
        <f t="shared" si="25"/>
        <v>1.48529</v>
      </c>
      <c r="AV490" s="18">
        <f>1485290/1000000</f>
        <v>1.48529</v>
      </c>
      <c r="AW490" s="18">
        <v>0</v>
      </c>
      <c r="AY490" s="18" t="s">
        <v>6635</v>
      </c>
      <c r="AZ490" s="18">
        <f>500/1000</f>
        <v>0.5</v>
      </c>
      <c r="BA490" s="18">
        <f>200/1000</f>
        <v>0.2</v>
      </c>
      <c r="BB490" s="18">
        <v>1000</v>
      </c>
      <c r="BD490" s="18">
        <f>1000/1000</f>
        <v>1</v>
      </c>
      <c r="BE490" s="18">
        <v>300</v>
      </c>
      <c r="BG490" s="18" t="s">
        <v>5169</v>
      </c>
      <c r="BH490" s="18">
        <f>300/1000</f>
        <v>0.3</v>
      </c>
      <c r="BI490" s="18">
        <f>2397/1000</f>
        <v>2.3969999999999998</v>
      </c>
      <c r="BJ490" s="18">
        <f>500/1000</f>
        <v>0.5</v>
      </c>
      <c r="BQ490" s="18">
        <f>70435/1000</f>
        <v>70.435000000000002</v>
      </c>
      <c r="BR490" s="18">
        <f>50321/1000</f>
        <v>50.320999999999998</v>
      </c>
      <c r="BS490" s="18">
        <f>1583/1000</f>
        <v>1.583</v>
      </c>
      <c r="BT490" s="18">
        <f>7609/1000</f>
        <v>7.609</v>
      </c>
      <c r="BU490" s="18">
        <f>348286/1000</f>
        <v>348.286</v>
      </c>
      <c r="BV490" s="18">
        <f t="shared" ref="BV490:BV491" si="29">SUM(BQ490:BU490)</f>
        <v>478.23400000000004</v>
      </c>
      <c r="BW490" s="15">
        <f t="shared" si="26"/>
        <v>478.23400000000004</v>
      </c>
      <c r="BY490" s="18" t="s">
        <v>5134</v>
      </c>
      <c r="BZ490" s="18" t="s">
        <v>5688</v>
      </c>
      <c r="CD490" s="18" t="s">
        <v>111</v>
      </c>
      <c r="CE490" s="18" t="s">
        <v>111</v>
      </c>
      <c r="CF490" s="18" t="s">
        <v>5282</v>
      </c>
      <c r="CG490" s="18" t="s">
        <v>5193</v>
      </c>
      <c r="CH490" s="18" t="s">
        <v>5241</v>
      </c>
      <c r="CI490" s="18" t="s">
        <v>5138</v>
      </c>
      <c r="CJ490" s="18" t="s">
        <v>5196</v>
      </c>
      <c r="CK490" s="18" t="s">
        <v>5197</v>
      </c>
      <c r="CL490" s="18">
        <v>1</v>
      </c>
      <c r="CM490" s="18">
        <v>0</v>
      </c>
      <c r="CN490" s="18">
        <v>1</v>
      </c>
      <c r="CO490" s="18">
        <v>1</v>
      </c>
      <c r="CP490" s="18">
        <v>1</v>
      </c>
      <c r="CQ490" s="18">
        <v>0</v>
      </c>
      <c r="CR490" s="18">
        <v>0</v>
      </c>
      <c r="CS490" s="18">
        <v>1</v>
      </c>
      <c r="CT490" s="18">
        <v>0</v>
      </c>
      <c r="CU490" s="18">
        <v>1</v>
      </c>
      <c r="CV490" s="18">
        <v>0</v>
      </c>
      <c r="CX490" s="18">
        <v>1</v>
      </c>
      <c r="CY490" s="18">
        <v>0</v>
      </c>
      <c r="CZ490" s="18">
        <v>0</v>
      </c>
      <c r="DA490" s="18">
        <v>0</v>
      </c>
      <c r="DB490" s="18">
        <v>0</v>
      </c>
      <c r="DC490" s="18">
        <v>0</v>
      </c>
      <c r="DD490" s="18">
        <v>0</v>
      </c>
      <c r="DE490" s="18">
        <v>0</v>
      </c>
      <c r="DF490" s="18">
        <v>0</v>
      </c>
      <c r="DG490" s="18">
        <v>1</v>
      </c>
      <c r="DH490" s="18">
        <v>1</v>
      </c>
      <c r="DI490" s="18">
        <v>1</v>
      </c>
      <c r="DK490" s="18">
        <v>1</v>
      </c>
      <c r="DL490" s="18">
        <v>0</v>
      </c>
      <c r="DM490" s="18" t="s">
        <v>5127</v>
      </c>
      <c r="DN490" s="18" t="s">
        <v>5314</v>
      </c>
      <c r="DO490" s="18" t="s">
        <v>5143</v>
      </c>
      <c r="DP490" s="18" t="s">
        <v>106</v>
      </c>
      <c r="DQ490" s="18" t="s">
        <v>179</v>
      </c>
      <c r="DS490" s="18">
        <v>7600</v>
      </c>
      <c r="DT490" s="18">
        <v>0</v>
      </c>
      <c r="DU490" s="18">
        <v>1</v>
      </c>
      <c r="DV490" s="18" t="s">
        <v>5144</v>
      </c>
      <c r="DX490" s="18" t="s">
        <v>5222</v>
      </c>
      <c r="DY490" s="18" t="s">
        <v>106</v>
      </c>
      <c r="DZ490" s="18" t="s">
        <v>113</v>
      </c>
      <c r="EA490" s="18" t="s">
        <v>5285</v>
      </c>
      <c r="EB490" s="18">
        <v>349938</v>
      </c>
      <c r="EC490" s="18" t="s">
        <v>106</v>
      </c>
      <c r="ED490" s="18" t="s">
        <v>5176</v>
      </c>
      <c r="EE490" s="18" t="s">
        <v>106</v>
      </c>
      <c r="EF490" s="18" t="s">
        <v>106</v>
      </c>
      <c r="EG490" s="18" t="s">
        <v>5970</v>
      </c>
      <c r="EH490" s="18" t="s">
        <v>5203</v>
      </c>
      <c r="EI490" s="18" t="s">
        <v>5204</v>
      </c>
      <c r="EJ490" s="18" t="s">
        <v>5361</v>
      </c>
      <c r="EK490" s="18" t="s">
        <v>5362</v>
      </c>
      <c r="EL490" s="18" t="s">
        <v>5460</v>
      </c>
      <c r="EM490" s="18" t="s">
        <v>5227</v>
      </c>
      <c r="EN490" s="18" t="s">
        <v>106</v>
      </c>
      <c r="EO490" s="18" t="s">
        <v>113</v>
      </c>
      <c r="EP490" s="18" t="s">
        <v>106</v>
      </c>
      <c r="EQ490" s="18" t="s">
        <v>106</v>
      </c>
      <c r="ER490" s="18" t="s">
        <v>5152</v>
      </c>
      <c r="ES490" s="18" t="s">
        <v>5317</v>
      </c>
      <c r="ET490" s="18" t="s">
        <v>5154</v>
      </c>
      <c r="EU490" s="18" t="s">
        <v>5318</v>
      </c>
      <c r="EV490" s="18" t="s">
        <v>5276</v>
      </c>
      <c r="EW490" s="18" t="s">
        <v>5291</v>
      </c>
      <c r="EX490" s="18" t="s">
        <v>5158</v>
      </c>
      <c r="EY490" s="18" t="s">
        <v>5229</v>
      </c>
      <c r="EZ490" s="18" t="s">
        <v>5160</v>
      </c>
      <c r="FB490" s="18" t="s">
        <v>5161</v>
      </c>
    </row>
    <row r="491" spans="1:158" ht="10.5" customHeight="1" x14ac:dyDescent="0.2">
      <c r="A491" s="18">
        <v>41</v>
      </c>
      <c r="B491" s="18" t="s">
        <v>4845</v>
      </c>
      <c r="C491" s="18" t="s">
        <v>4844</v>
      </c>
      <c r="D491" s="18">
        <v>25517</v>
      </c>
      <c r="E491" s="16" t="s">
        <v>6658</v>
      </c>
      <c r="F491" s="18" t="s">
        <v>4844</v>
      </c>
      <c r="G491" s="18" t="s">
        <v>106</v>
      </c>
      <c r="H491" s="15" t="s">
        <v>5127</v>
      </c>
      <c r="I491" s="18">
        <v>16</v>
      </c>
      <c r="J491" s="18">
        <v>10</v>
      </c>
      <c r="K491" s="18">
        <v>6</v>
      </c>
      <c r="L491" s="18">
        <v>0</v>
      </c>
      <c r="M491" s="18" t="s">
        <v>5183</v>
      </c>
      <c r="N491" s="18" t="s">
        <v>6636</v>
      </c>
      <c r="O491" s="18">
        <v>45834</v>
      </c>
      <c r="T491" s="18" t="s">
        <v>111</v>
      </c>
      <c r="U491" s="18" t="s">
        <v>5250</v>
      </c>
      <c r="V491" s="18" t="s">
        <v>106</v>
      </c>
      <c r="W491" s="18" t="s">
        <v>5211</v>
      </c>
      <c r="Y491" s="18" t="s">
        <v>5232</v>
      </c>
      <c r="Z491" s="18" t="s">
        <v>106</v>
      </c>
      <c r="AA491" s="18" t="s">
        <v>5163</v>
      </c>
      <c r="AB491" s="18" t="s">
        <v>179</v>
      </c>
      <c r="AC491" s="18" t="s">
        <v>5127</v>
      </c>
      <c r="AD491" s="18" t="s">
        <v>5127</v>
      </c>
      <c r="AE491" s="18" t="s">
        <v>5127</v>
      </c>
      <c r="AF491" s="18" t="s">
        <v>5127</v>
      </c>
      <c r="AG491" s="18" t="s">
        <v>5127</v>
      </c>
      <c r="AH491" s="18" t="s">
        <v>5127</v>
      </c>
      <c r="AI491" s="18">
        <v>1</v>
      </c>
      <c r="AK491" s="18" t="s">
        <v>5279</v>
      </c>
      <c r="AN491" s="18">
        <v>500</v>
      </c>
      <c r="AO491" s="18" t="s">
        <v>5186</v>
      </c>
      <c r="AP491" s="18" t="s">
        <v>6637</v>
      </c>
      <c r="AQ491" s="18" t="s">
        <v>5711</v>
      </c>
      <c r="AR491" s="18" t="s">
        <v>5168</v>
      </c>
      <c r="AT491" s="17">
        <f>(365*D491*0.7)/1000</f>
        <v>6519.5934999999999</v>
      </c>
      <c r="AU491" s="17">
        <f t="shared" si="25"/>
        <v>200</v>
      </c>
      <c r="AV491" s="18">
        <v>200</v>
      </c>
      <c r="AW491" s="18">
        <v>0</v>
      </c>
      <c r="AY491" s="18" t="s">
        <v>6420</v>
      </c>
      <c r="BD491" s="18">
        <f>500/1000</f>
        <v>0.5</v>
      </c>
      <c r="BG491" s="18" t="s">
        <v>5133</v>
      </c>
      <c r="BQ491" s="18">
        <v>150</v>
      </c>
      <c r="BR491" s="18">
        <v>200</v>
      </c>
      <c r="BS491" s="18">
        <v>100</v>
      </c>
      <c r="BT491" s="18">
        <v>100</v>
      </c>
      <c r="BU491" s="18">
        <v>0</v>
      </c>
      <c r="BV491" s="18">
        <f t="shared" si="29"/>
        <v>550</v>
      </c>
      <c r="BW491" s="15">
        <f t="shared" si="26"/>
        <v>550</v>
      </c>
      <c r="BY491" s="18" t="s">
        <v>5134</v>
      </c>
      <c r="BZ491" s="18" t="s">
        <v>193</v>
      </c>
      <c r="CD491" s="18" t="s">
        <v>5127</v>
      </c>
      <c r="CE491" s="18" t="s">
        <v>5127</v>
      </c>
      <c r="CF491" s="18" t="s">
        <v>5135</v>
      </c>
      <c r="CG491" s="18" t="s">
        <v>6638</v>
      </c>
      <c r="CH491" s="18" t="s">
        <v>111</v>
      </c>
      <c r="CI491" s="18" t="s">
        <v>5138</v>
      </c>
      <c r="CJ491" s="18" t="s">
        <v>5139</v>
      </c>
      <c r="CK491" s="18" t="s">
        <v>5197</v>
      </c>
      <c r="CL491" s="18">
        <v>2</v>
      </c>
      <c r="CM491" s="18">
        <v>1</v>
      </c>
      <c r="CN491" s="18">
        <v>1</v>
      </c>
      <c r="CO491" s="18">
        <v>1</v>
      </c>
      <c r="CP491" s="18">
        <v>0</v>
      </c>
      <c r="CQ491" s="18">
        <v>1</v>
      </c>
      <c r="CR491" s="18">
        <v>0</v>
      </c>
      <c r="CS491" s="18" t="s">
        <v>5141</v>
      </c>
      <c r="CT491" s="18">
        <v>1</v>
      </c>
      <c r="CU491" s="18">
        <v>0</v>
      </c>
      <c r="CV491" s="18" t="s">
        <v>5141</v>
      </c>
      <c r="CX491" s="18">
        <v>0</v>
      </c>
      <c r="CY491" s="18" t="s">
        <v>5887</v>
      </c>
      <c r="CZ491" s="18">
        <v>0</v>
      </c>
      <c r="DA491" s="18">
        <v>0</v>
      </c>
      <c r="DB491" s="18">
        <v>0</v>
      </c>
      <c r="DC491" s="18">
        <v>1</v>
      </c>
      <c r="DD491" s="18">
        <v>0</v>
      </c>
      <c r="DE491" s="18">
        <v>0</v>
      </c>
      <c r="DF491" s="18">
        <v>0</v>
      </c>
      <c r="DG491" s="18">
        <v>0</v>
      </c>
      <c r="DH491" s="18">
        <v>0</v>
      </c>
      <c r="DI491" s="18">
        <v>0</v>
      </c>
      <c r="DK491" s="18" t="s">
        <v>5358</v>
      </c>
      <c r="DL491" s="18">
        <v>1</v>
      </c>
      <c r="DM491" s="18" t="s">
        <v>5127</v>
      </c>
      <c r="DN491" s="18" t="s">
        <v>5172</v>
      </c>
      <c r="DO491" s="18" t="s">
        <v>5143</v>
      </c>
      <c r="DP491" s="18" t="s">
        <v>113</v>
      </c>
      <c r="DS491" s="18">
        <v>0</v>
      </c>
      <c r="DT491" s="18">
        <v>1</v>
      </c>
      <c r="DU491" s="18">
        <v>0</v>
      </c>
      <c r="DV491" s="18" t="s">
        <v>5144</v>
      </c>
      <c r="DX491" s="18" t="s">
        <v>5201</v>
      </c>
      <c r="DY491" s="18" t="s">
        <v>106</v>
      </c>
      <c r="DZ491" s="18" t="s">
        <v>113</v>
      </c>
      <c r="EA491" s="18" t="s">
        <v>5146</v>
      </c>
      <c r="EB491" s="18">
        <v>360</v>
      </c>
      <c r="EC491" s="18" t="s">
        <v>106</v>
      </c>
      <c r="ED491" s="18" t="s">
        <v>5176</v>
      </c>
      <c r="EE491" s="18" t="s">
        <v>106</v>
      </c>
      <c r="EF491" s="18" t="s">
        <v>113</v>
      </c>
      <c r="EG491" s="18" t="s">
        <v>5148</v>
      </c>
      <c r="EH491" s="18" t="s">
        <v>5203</v>
      </c>
      <c r="EI491" s="18" t="s">
        <v>5204</v>
      </c>
      <c r="EJ491" s="18" t="s">
        <v>6639</v>
      </c>
      <c r="EK491" s="18" t="s">
        <v>113</v>
      </c>
      <c r="EM491" s="18" t="s">
        <v>5274</v>
      </c>
      <c r="EN491" s="18" t="s">
        <v>113</v>
      </c>
      <c r="EO491" s="18" t="s">
        <v>113</v>
      </c>
      <c r="EP491" s="18" t="s">
        <v>113</v>
      </c>
      <c r="EQ491" s="18" t="s">
        <v>113</v>
      </c>
      <c r="ER491" s="18" t="s">
        <v>5206</v>
      </c>
      <c r="ES491" s="18" t="s">
        <v>5153</v>
      </c>
      <c r="ET491" s="18" t="s">
        <v>5154</v>
      </c>
      <c r="EU491" s="18" t="s">
        <v>5155</v>
      </c>
      <c r="EV491" s="18" t="s">
        <v>5329</v>
      </c>
      <c r="EW491" s="18" t="s">
        <v>5593</v>
      </c>
      <c r="EX491" s="18" t="s">
        <v>5158</v>
      </c>
      <c r="EY491" s="18" t="s">
        <v>5229</v>
      </c>
      <c r="EZ491" s="18" t="s">
        <v>5160</v>
      </c>
      <c r="FA491" s="18" t="s">
        <v>144</v>
      </c>
      <c r="FB491" s="18" t="s">
        <v>5161</v>
      </c>
    </row>
    <row r="492" spans="1:158" ht="10.5" customHeight="1" x14ac:dyDescent="0.2">
      <c r="A492" s="18">
        <v>41</v>
      </c>
      <c r="B492" s="18" t="s">
        <v>4858</v>
      </c>
      <c r="C492" s="18" t="s">
        <v>4857</v>
      </c>
      <c r="D492" s="18">
        <v>121972</v>
      </c>
      <c r="E492" s="16" t="s">
        <v>6657</v>
      </c>
      <c r="F492" s="18" t="s">
        <v>4857</v>
      </c>
      <c r="G492" s="18" t="s">
        <v>106</v>
      </c>
      <c r="H492" s="15" t="s">
        <v>5127</v>
      </c>
      <c r="I492" s="18">
        <v>30</v>
      </c>
      <c r="J492" s="18">
        <v>19</v>
      </c>
      <c r="K492" s="18">
        <v>11</v>
      </c>
      <c r="L492" s="18">
        <v>0</v>
      </c>
      <c r="M492" s="18" t="s">
        <v>5230</v>
      </c>
      <c r="N492" s="18" t="s">
        <v>6640</v>
      </c>
      <c r="O492" s="18">
        <v>46914</v>
      </c>
      <c r="T492" s="18" t="s">
        <v>6058</v>
      </c>
      <c r="U492" s="18" t="s">
        <v>5123</v>
      </c>
      <c r="V492" s="18" t="s">
        <v>113</v>
      </c>
      <c r="W492" s="18" t="s">
        <v>5211</v>
      </c>
      <c r="Y492" s="18" t="s">
        <v>5407</v>
      </c>
      <c r="Z492" s="18" t="s">
        <v>106</v>
      </c>
      <c r="AA492" s="18" t="s">
        <v>5163</v>
      </c>
      <c r="AB492" s="18" t="s">
        <v>179</v>
      </c>
      <c r="AC492" s="18" t="s">
        <v>5127</v>
      </c>
      <c r="AD492" s="18" t="s">
        <v>111</v>
      </c>
      <c r="AE492" s="18" t="s">
        <v>5127</v>
      </c>
      <c r="AF492" s="18" t="s">
        <v>5127</v>
      </c>
      <c r="AG492" s="18" t="s">
        <v>5127</v>
      </c>
      <c r="AH492" s="18" t="s">
        <v>5127</v>
      </c>
      <c r="AI492" s="18">
        <v>2</v>
      </c>
      <c r="AK492" s="18" t="s">
        <v>5164</v>
      </c>
      <c r="AN492" s="18">
        <v>2238</v>
      </c>
      <c r="AO492" s="18" t="s">
        <v>5186</v>
      </c>
      <c r="AP492" s="18" t="s">
        <v>6641</v>
      </c>
      <c r="AQ492" s="18" t="s">
        <v>6088</v>
      </c>
      <c r="AR492" s="18" t="s">
        <v>5727</v>
      </c>
      <c r="AT492" s="17">
        <f>(365*D492*0.7)/1000</f>
        <v>31163.845999999998</v>
      </c>
      <c r="AU492" s="17">
        <f t="shared" si="25"/>
        <v>972</v>
      </c>
      <c r="AV492" s="18">
        <v>972</v>
      </c>
      <c r="AW492" s="18">
        <v>0</v>
      </c>
      <c r="AY492" s="18" t="s">
        <v>5334</v>
      </c>
      <c r="BG492" s="18" t="s">
        <v>5169</v>
      </c>
      <c r="BQ492" s="18">
        <v>600</v>
      </c>
      <c r="BR492" s="18">
        <v>278</v>
      </c>
      <c r="BS492" s="18">
        <v>48</v>
      </c>
      <c r="BT492" s="18">
        <v>258</v>
      </c>
      <c r="BU492" s="18">
        <v>82</v>
      </c>
      <c r="BV492" s="18">
        <v>1266</v>
      </c>
      <c r="BW492" s="15">
        <f t="shared" si="26"/>
        <v>1266</v>
      </c>
      <c r="BY492" s="18" t="s">
        <v>5134</v>
      </c>
      <c r="BZ492" s="18" t="s">
        <v>5816</v>
      </c>
      <c r="CD492" s="18" t="s">
        <v>5127</v>
      </c>
      <c r="CE492" s="18" t="s">
        <v>111</v>
      </c>
      <c r="CF492" s="18" t="s">
        <v>5135</v>
      </c>
      <c r="CG492" s="18" t="s">
        <v>6638</v>
      </c>
      <c r="CH492" s="18" t="s">
        <v>5241</v>
      </c>
      <c r="CI492" s="18" t="s">
        <v>5195</v>
      </c>
      <c r="CJ492" s="18" t="s">
        <v>5196</v>
      </c>
      <c r="CK492" s="18" t="s">
        <v>6642</v>
      </c>
      <c r="CL492" s="18">
        <v>3</v>
      </c>
      <c r="CM492" s="18">
        <v>0</v>
      </c>
      <c r="CN492" s="18">
        <v>0</v>
      </c>
      <c r="CO492" s="18">
        <v>2</v>
      </c>
      <c r="CP492" s="18">
        <v>1</v>
      </c>
      <c r="CQ492" s="18">
        <v>1</v>
      </c>
      <c r="CR492" s="18" t="s">
        <v>5141</v>
      </c>
      <c r="CS492" s="18" t="s">
        <v>5141</v>
      </c>
      <c r="CT492" s="18">
        <v>2</v>
      </c>
      <c r="CU492" s="18">
        <v>0</v>
      </c>
      <c r="CV492" s="18">
        <v>1</v>
      </c>
      <c r="CX492" s="18">
        <v>2</v>
      </c>
      <c r="CY492" s="18">
        <v>3</v>
      </c>
      <c r="CZ492" s="18">
        <v>0</v>
      </c>
      <c r="DA492" s="18">
        <v>1</v>
      </c>
      <c r="DB492" s="18">
        <v>1</v>
      </c>
      <c r="DC492" s="18">
        <v>1</v>
      </c>
      <c r="DD492" s="18">
        <v>2</v>
      </c>
      <c r="DE492" s="18">
        <v>4</v>
      </c>
      <c r="DF492" s="18" t="s">
        <v>5141</v>
      </c>
      <c r="DG492" s="18">
        <v>2</v>
      </c>
      <c r="DH492" s="18">
        <v>2</v>
      </c>
      <c r="DI492" s="18">
        <v>4</v>
      </c>
      <c r="DK492" s="18">
        <v>2</v>
      </c>
      <c r="DL492" s="18">
        <v>1</v>
      </c>
      <c r="DM492" s="18" t="s">
        <v>5127</v>
      </c>
      <c r="DN492" s="18" t="s">
        <v>5299</v>
      </c>
      <c r="DO492" s="18" t="s">
        <v>5371</v>
      </c>
      <c r="DP492" s="18" t="s">
        <v>113</v>
      </c>
      <c r="DS492" s="18">
        <v>0</v>
      </c>
      <c r="DT492" s="18">
        <v>1</v>
      </c>
      <c r="DU492" s="18">
        <v>1</v>
      </c>
      <c r="DV492" s="18" t="s">
        <v>6643</v>
      </c>
      <c r="DX492" s="18" t="s">
        <v>5222</v>
      </c>
      <c r="DY492" s="18" t="s">
        <v>106</v>
      </c>
      <c r="DZ492" s="18" t="s">
        <v>106</v>
      </c>
      <c r="EA492" s="18" t="s">
        <v>5202</v>
      </c>
      <c r="EB492" s="18">
        <v>1266</v>
      </c>
      <c r="EC492" s="18" t="s">
        <v>106</v>
      </c>
      <c r="ED492" s="18" t="s">
        <v>5176</v>
      </c>
      <c r="EE492" s="18" t="s">
        <v>106</v>
      </c>
      <c r="EF492" s="18" t="s">
        <v>113</v>
      </c>
      <c r="EG492" s="18" t="s">
        <v>5148</v>
      </c>
      <c r="EH492" s="18" t="s">
        <v>5203</v>
      </c>
      <c r="EI492" s="18" t="s">
        <v>5204</v>
      </c>
      <c r="EJ492" s="18" t="s">
        <v>5245</v>
      </c>
      <c r="EK492" s="18" t="s">
        <v>113</v>
      </c>
      <c r="EN492" s="18" t="s">
        <v>113</v>
      </c>
      <c r="EP492" s="18" t="s">
        <v>113</v>
      </c>
      <c r="EQ492" s="18" t="s">
        <v>113</v>
      </c>
      <c r="ER492" s="18" t="s">
        <v>5206</v>
      </c>
      <c r="ES492" s="18" t="s">
        <v>5153</v>
      </c>
      <c r="ET492" s="18" t="s">
        <v>5154</v>
      </c>
      <c r="EU492" s="18" t="s">
        <v>5289</v>
      </c>
      <c r="EV492" s="18" t="s">
        <v>6449</v>
      </c>
      <c r="EW492" s="18" t="s">
        <v>5844</v>
      </c>
      <c r="EX492" s="18" t="s">
        <v>5158</v>
      </c>
      <c r="EY492" s="18" t="s">
        <v>5800</v>
      </c>
      <c r="EZ492" s="18" t="s">
        <v>5160</v>
      </c>
      <c r="FA492" s="18" t="s">
        <v>144</v>
      </c>
      <c r="FB492" s="18" t="s">
        <v>5161</v>
      </c>
    </row>
    <row r="493" spans="1:158" ht="10.5" customHeight="1" x14ac:dyDescent="0.2">
      <c r="A493" s="18">
        <v>41</v>
      </c>
      <c r="B493" s="18" t="s">
        <v>4557</v>
      </c>
      <c r="C493" s="18" t="s">
        <v>4558</v>
      </c>
      <c r="D493" s="18">
        <v>56397</v>
      </c>
      <c r="E493" s="16" t="s">
        <v>6658</v>
      </c>
      <c r="H493" s="15" t="s">
        <v>6661</v>
      </c>
      <c r="AT493" s="17">
        <f>(365*D493*0.7)/1000</f>
        <v>14409.433499999999</v>
      </c>
      <c r="AU493" s="17">
        <f t="shared" si="25"/>
        <v>0</v>
      </c>
      <c r="BW493" s="15">
        <f t="shared" si="26"/>
        <v>0</v>
      </c>
    </row>
    <row r="494" spans="1:158" ht="10.5" customHeight="1" x14ac:dyDescent="0.2">
      <c r="A494" s="18">
        <v>41</v>
      </c>
      <c r="B494" s="18" t="s">
        <v>4877</v>
      </c>
      <c r="C494" s="18" t="s">
        <v>4876</v>
      </c>
      <c r="D494" s="18">
        <v>2121</v>
      </c>
      <c r="E494" s="16" t="s">
        <v>6656</v>
      </c>
      <c r="F494" s="18" t="s">
        <v>4876</v>
      </c>
      <c r="G494" s="18" t="s">
        <v>113</v>
      </c>
      <c r="H494" s="15" t="s">
        <v>111</v>
      </c>
      <c r="AT494" s="17">
        <f>(365*D494*0.7)/1000</f>
        <v>541.91549999999995</v>
      </c>
      <c r="AU494" s="17">
        <f t="shared" si="25"/>
        <v>0</v>
      </c>
      <c r="BW494" s="15">
        <f t="shared" si="26"/>
        <v>0</v>
      </c>
    </row>
    <row r="495" spans="1:158" ht="10.5" customHeight="1" x14ac:dyDescent="0.2">
      <c r="A495" s="18">
        <v>41</v>
      </c>
      <c r="B495" s="18" t="s">
        <v>4894</v>
      </c>
      <c r="C495" s="18" t="s">
        <v>4893</v>
      </c>
      <c r="D495" s="18">
        <v>10407</v>
      </c>
      <c r="E495" s="16" t="s">
        <v>6656</v>
      </c>
      <c r="F495" s="18" t="s">
        <v>4893</v>
      </c>
      <c r="G495" s="18" t="s">
        <v>106</v>
      </c>
      <c r="H495" s="15" t="s">
        <v>5127</v>
      </c>
      <c r="I495" s="18">
        <v>11</v>
      </c>
      <c r="J495" s="18">
        <v>4</v>
      </c>
      <c r="K495" s="18">
        <v>7</v>
      </c>
      <c r="M495" s="18" t="s">
        <v>5121</v>
      </c>
      <c r="N495" s="18" t="s">
        <v>6644</v>
      </c>
      <c r="T495" s="18" t="s">
        <v>111</v>
      </c>
      <c r="U495" s="18" t="s">
        <v>5250</v>
      </c>
      <c r="V495" s="18" t="s">
        <v>106</v>
      </c>
      <c r="W495" s="18" t="s">
        <v>5124</v>
      </c>
      <c r="Y495" s="18" t="s">
        <v>5212</v>
      </c>
      <c r="Z495" s="18" t="s">
        <v>106</v>
      </c>
      <c r="AA495" s="18" t="s">
        <v>5163</v>
      </c>
      <c r="AB495" s="18" t="s">
        <v>179</v>
      </c>
      <c r="AC495" s="18" t="s">
        <v>5127</v>
      </c>
      <c r="AD495" s="18" t="s">
        <v>5127</v>
      </c>
      <c r="AE495" s="18" t="s">
        <v>5127</v>
      </c>
      <c r="AF495" s="18" t="s">
        <v>111</v>
      </c>
      <c r="AG495" s="18" t="s">
        <v>5127</v>
      </c>
      <c r="AH495" s="18" t="s">
        <v>5127</v>
      </c>
      <c r="AI495" s="18">
        <v>1</v>
      </c>
      <c r="AK495" s="18" t="s">
        <v>5164</v>
      </c>
      <c r="AN495" s="18">
        <v>96</v>
      </c>
      <c r="AO495" s="18" t="s">
        <v>6645</v>
      </c>
      <c r="AP495" s="18" t="s">
        <v>5734</v>
      </c>
      <c r="AQ495" s="18" t="s">
        <v>5662</v>
      </c>
      <c r="AR495" s="18" t="s">
        <v>179</v>
      </c>
      <c r="AT495" s="17">
        <f>(365*D495*0.7)/1000</f>
        <v>2658.9884999999999</v>
      </c>
      <c r="AU495" s="17">
        <f t="shared" si="25"/>
        <v>3</v>
      </c>
      <c r="AV495" s="18">
        <v>3</v>
      </c>
      <c r="AW495" s="18">
        <v>0</v>
      </c>
      <c r="AY495" s="18" t="s">
        <v>5473</v>
      </c>
      <c r="BG495" s="18" t="s">
        <v>164</v>
      </c>
      <c r="BQ495" s="18">
        <v>58</v>
      </c>
      <c r="BR495" s="18">
        <v>21</v>
      </c>
      <c r="BS495" s="18">
        <v>0</v>
      </c>
      <c r="BT495" s="18">
        <v>1</v>
      </c>
      <c r="BU495" s="18">
        <v>16</v>
      </c>
      <c r="BV495" s="18">
        <v>96</v>
      </c>
      <c r="BW495" s="15">
        <f t="shared" si="26"/>
        <v>96</v>
      </c>
      <c r="BY495" s="18" t="s">
        <v>5322</v>
      </c>
      <c r="BZ495" s="18" t="s">
        <v>193</v>
      </c>
      <c r="CD495" s="18" t="s">
        <v>5127</v>
      </c>
      <c r="CE495" s="18" t="s">
        <v>5127</v>
      </c>
      <c r="CF495" s="18" t="s">
        <v>5282</v>
      </c>
      <c r="CG495" s="18" t="s">
        <v>6646</v>
      </c>
      <c r="CH495" s="18" t="s">
        <v>5241</v>
      </c>
      <c r="CI495" s="18" t="s">
        <v>5138</v>
      </c>
      <c r="CJ495" s="18" t="s">
        <v>5636</v>
      </c>
      <c r="CK495" s="18" t="s">
        <v>6647</v>
      </c>
      <c r="CL495" s="18">
        <v>1</v>
      </c>
      <c r="CM495" s="18">
        <v>0</v>
      </c>
      <c r="CN495" s="18">
        <v>0</v>
      </c>
      <c r="CO495" s="18">
        <v>1</v>
      </c>
      <c r="CP495" s="18">
        <v>0</v>
      </c>
      <c r="CQ495" s="18">
        <v>1</v>
      </c>
      <c r="CR495" s="18">
        <v>0</v>
      </c>
      <c r="CS495" s="18">
        <v>2</v>
      </c>
      <c r="CT495" s="18">
        <v>1</v>
      </c>
      <c r="CU495" s="18">
        <v>1</v>
      </c>
      <c r="CV495" s="18">
        <v>1</v>
      </c>
      <c r="CX495" s="18">
        <v>1</v>
      </c>
      <c r="CY495" s="18">
        <v>1</v>
      </c>
      <c r="CZ495" s="18">
        <v>1</v>
      </c>
      <c r="DA495" s="18">
        <v>1</v>
      </c>
      <c r="DB495" s="18">
        <v>0</v>
      </c>
      <c r="DC495" s="18">
        <v>1</v>
      </c>
      <c r="DD495" s="18">
        <v>1</v>
      </c>
      <c r="DE495" s="18">
        <v>1</v>
      </c>
      <c r="DF495" s="18">
        <v>2</v>
      </c>
      <c r="DG495" s="18">
        <v>1</v>
      </c>
      <c r="DH495" s="18">
        <v>2</v>
      </c>
      <c r="DI495" s="18">
        <v>2</v>
      </c>
      <c r="DK495" s="18">
        <v>0</v>
      </c>
      <c r="DL495" s="18">
        <v>1</v>
      </c>
      <c r="DM495" s="18" t="s">
        <v>5127</v>
      </c>
      <c r="DN495" s="18" t="s">
        <v>5258</v>
      </c>
      <c r="DO495" s="18" t="s">
        <v>5315</v>
      </c>
      <c r="DP495" s="18" t="s">
        <v>106</v>
      </c>
      <c r="DS495" s="18">
        <v>0</v>
      </c>
      <c r="DT495" s="18">
        <v>0</v>
      </c>
      <c r="DU495" s="18">
        <v>2</v>
      </c>
      <c r="DV495" s="18" t="s">
        <v>5301</v>
      </c>
      <c r="DX495" s="18" t="s">
        <v>5222</v>
      </c>
      <c r="DY495" s="18" t="s">
        <v>106</v>
      </c>
      <c r="DZ495" s="18" t="s">
        <v>106</v>
      </c>
      <c r="EA495" s="18" t="s">
        <v>5337</v>
      </c>
      <c r="EB495" s="18">
        <v>8</v>
      </c>
      <c r="EC495" s="18" t="s">
        <v>106</v>
      </c>
      <c r="ED495" s="18" t="s">
        <v>5176</v>
      </c>
      <c r="EE495" s="18" t="s">
        <v>113</v>
      </c>
      <c r="EF495" s="18" t="s">
        <v>113</v>
      </c>
      <c r="EG495" s="18" t="s">
        <v>5148</v>
      </c>
      <c r="EH495" s="18" t="s">
        <v>5149</v>
      </c>
      <c r="EI495" s="18" t="s">
        <v>5150</v>
      </c>
      <c r="EJ495" s="18" t="s">
        <v>6648</v>
      </c>
      <c r="EK495" s="18" t="s">
        <v>113</v>
      </c>
      <c r="EN495" s="18" t="s">
        <v>113</v>
      </c>
      <c r="EO495" s="18" t="s">
        <v>113</v>
      </c>
      <c r="EP495" s="18" t="s">
        <v>113</v>
      </c>
      <c r="EQ495" s="18" t="s">
        <v>106</v>
      </c>
      <c r="ER495" s="18" t="s">
        <v>5289</v>
      </c>
      <c r="ES495" s="18" t="s">
        <v>5317</v>
      </c>
      <c r="ET495" s="18" t="s">
        <v>5154</v>
      </c>
      <c r="EU495" s="18" t="s">
        <v>5318</v>
      </c>
      <c r="EV495" s="18" t="s">
        <v>6649</v>
      </c>
      <c r="EW495" s="18" t="s">
        <v>6493</v>
      </c>
      <c r="EX495" s="18" t="s">
        <v>5158</v>
      </c>
      <c r="EY495" s="18" t="s">
        <v>5229</v>
      </c>
      <c r="EZ495" s="18" t="s">
        <v>6650</v>
      </c>
      <c r="FA495" s="18" t="s">
        <v>144</v>
      </c>
      <c r="FB495" s="18" t="s">
        <v>5161</v>
      </c>
    </row>
    <row r="496" spans="1:158" ht="10.5" customHeight="1" x14ac:dyDescent="0.2">
      <c r="A496" s="18">
        <v>41</v>
      </c>
      <c r="B496" s="18" t="s">
        <v>4904</v>
      </c>
      <c r="C496" s="18" t="s">
        <v>4903</v>
      </c>
      <c r="D496" s="18">
        <v>9779</v>
      </c>
      <c r="E496" s="16" t="s">
        <v>6656</v>
      </c>
      <c r="F496" s="18" t="s">
        <v>4903</v>
      </c>
      <c r="G496" s="18" t="s">
        <v>113</v>
      </c>
      <c r="H496" s="15" t="s">
        <v>111</v>
      </c>
      <c r="AT496" s="17">
        <f>(365*D496*0.7)/1000</f>
        <v>2498.5345000000002</v>
      </c>
      <c r="AU496" s="17">
        <f t="shared" si="25"/>
        <v>0</v>
      </c>
      <c r="BW496" s="15">
        <f t="shared" si="26"/>
        <v>0</v>
      </c>
    </row>
    <row r="497" spans="1:158" ht="10.5" customHeight="1" x14ac:dyDescent="0.2">
      <c r="A497" s="18">
        <v>41</v>
      </c>
      <c r="B497" s="18" t="s">
        <v>4912</v>
      </c>
      <c r="C497" s="18" t="s">
        <v>2835</v>
      </c>
      <c r="D497" s="18">
        <v>8227</v>
      </c>
      <c r="E497" s="16" t="s">
        <v>6656</v>
      </c>
      <c r="F497" s="18" t="s">
        <v>2835</v>
      </c>
      <c r="G497" s="18" t="s">
        <v>106</v>
      </c>
      <c r="H497" s="15" t="s">
        <v>5127</v>
      </c>
      <c r="I497" s="18">
        <v>15</v>
      </c>
      <c r="J497" s="18">
        <v>13</v>
      </c>
      <c r="K497" s="18">
        <v>2</v>
      </c>
      <c r="L497" s="18">
        <v>0</v>
      </c>
      <c r="M497" s="18" t="s">
        <v>5183</v>
      </c>
      <c r="N497" s="18" t="s">
        <v>6651</v>
      </c>
      <c r="O497" s="18">
        <v>47218</v>
      </c>
      <c r="T497" s="18" t="s">
        <v>111</v>
      </c>
      <c r="U497" s="18" t="s">
        <v>5123</v>
      </c>
      <c r="V497" s="18" t="s">
        <v>106</v>
      </c>
      <c r="W497" s="18" t="s">
        <v>5124</v>
      </c>
      <c r="Y497" s="18" t="s">
        <v>5162</v>
      </c>
      <c r="Z497" s="18" t="s">
        <v>106</v>
      </c>
      <c r="AA497" s="18" t="s">
        <v>5163</v>
      </c>
      <c r="AB497" s="18" t="s">
        <v>179</v>
      </c>
      <c r="AC497" s="18" t="s">
        <v>5127</v>
      </c>
      <c r="AD497" s="18" t="s">
        <v>5127</v>
      </c>
      <c r="AE497" s="18" t="s">
        <v>5127</v>
      </c>
      <c r="AF497" s="18" t="s">
        <v>5127</v>
      </c>
      <c r="AG497" s="18" t="s">
        <v>5127</v>
      </c>
      <c r="AH497" s="18" t="s">
        <v>5127</v>
      </c>
      <c r="AI497" s="18">
        <v>0</v>
      </c>
      <c r="AK497" s="18" t="s">
        <v>5164</v>
      </c>
      <c r="AN497" s="18">
        <v>350000</v>
      </c>
      <c r="AO497" s="18" t="s">
        <v>5129</v>
      </c>
      <c r="AP497" s="18" t="s">
        <v>6652</v>
      </c>
      <c r="AQ497" s="18" t="s">
        <v>6653</v>
      </c>
      <c r="AR497" s="18" t="s">
        <v>5168</v>
      </c>
      <c r="AT497" s="17">
        <f>(365*D497*0.7)/1000</f>
        <v>2101.9985000000001</v>
      </c>
      <c r="AU497" s="17">
        <f t="shared" si="25"/>
        <v>120</v>
      </c>
      <c r="AV497" s="18">
        <f>120000/1000</f>
        <v>120</v>
      </c>
      <c r="AW497" s="18">
        <v>0</v>
      </c>
      <c r="AY497" s="18" t="s">
        <v>6654</v>
      </c>
      <c r="AZ497" s="18">
        <v>50</v>
      </c>
      <c r="BA497" s="18">
        <v>150</v>
      </c>
      <c r="BB497" s="18">
        <v>25</v>
      </c>
      <c r="BD497" s="18">
        <v>200</v>
      </c>
      <c r="BE497" s="18">
        <v>30</v>
      </c>
      <c r="BG497" s="18" t="s">
        <v>164</v>
      </c>
      <c r="BH497" s="18">
        <f>15/1000</f>
        <v>1.4999999999999999E-2</v>
      </c>
      <c r="BI497" s="18">
        <f>10/1000</f>
        <v>0.01</v>
      </c>
      <c r="BJ497" s="18">
        <f>5/1000</f>
        <v>5.0000000000000001E-3</v>
      </c>
      <c r="BQ497" s="18">
        <v>180</v>
      </c>
      <c r="BR497" s="18">
        <v>95</v>
      </c>
      <c r="BS497" s="18">
        <v>50</v>
      </c>
      <c r="BT497" s="18">
        <v>85</v>
      </c>
      <c r="BU497" s="18">
        <v>50</v>
      </c>
      <c r="BV497" s="18">
        <f>SUM(BQ497:BU497)</f>
        <v>460</v>
      </c>
      <c r="BW497" s="15">
        <f t="shared" si="26"/>
        <v>460</v>
      </c>
      <c r="BY497" s="18" t="s">
        <v>5134</v>
      </c>
      <c r="BZ497" s="18" t="s">
        <v>5240</v>
      </c>
      <c r="CD497" s="18" t="s">
        <v>5127</v>
      </c>
      <c r="CE497" s="18" t="s">
        <v>111</v>
      </c>
      <c r="CF497" s="18" t="s">
        <v>5135</v>
      </c>
      <c r="CG497" s="18" t="s">
        <v>5376</v>
      </c>
      <c r="CH497" s="18" t="s">
        <v>5564</v>
      </c>
      <c r="CI497" s="18" t="s">
        <v>5138</v>
      </c>
      <c r="CJ497" s="18" t="s">
        <v>5196</v>
      </c>
      <c r="CK497" s="18" t="s">
        <v>5197</v>
      </c>
      <c r="CL497" s="18">
        <v>4</v>
      </c>
      <c r="CM497" s="18">
        <v>0</v>
      </c>
      <c r="CN497" s="18">
        <v>0</v>
      </c>
      <c r="CO497" s="18">
        <v>1</v>
      </c>
      <c r="CP497" s="18">
        <v>3</v>
      </c>
      <c r="CQ497" s="18">
        <v>1</v>
      </c>
      <c r="CR497" s="18" t="s">
        <v>5141</v>
      </c>
      <c r="CS497" s="18" t="s">
        <v>5141</v>
      </c>
      <c r="CT497" s="18">
        <v>0</v>
      </c>
      <c r="CU497" s="18">
        <v>0</v>
      </c>
      <c r="CV497" s="18">
        <v>1</v>
      </c>
      <c r="CX497" s="18">
        <v>1</v>
      </c>
      <c r="CY497" s="18">
        <v>1</v>
      </c>
      <c r="CZ497" s="18">
        <v>1</v>
      </c>
      <c r="DA497" s="18">
        <v>1</v>
      </c>
      <c r="DB497" s="18">
        <v>1</v>
      </c>
      <c r="DC497" s="18">
        <v>1</v>
      </c>
      <c r="DD497" s="18">
        <v>1</v>
      </c>
      <c r="DE497" s="18" t="s">
        <v>5141</v>
      </c>
      <c r="DF497" s="18" t="s">
        <v>5141</v>
      </c>
      <c r="DG497" s="18">
        <v>1</v>
      </c>
      <c r="DH497" s="18">
        <v>1</v>
      </c>
      <c r="DI497" s="18">
        <v>3</v>
      </c>
      <c r="DK497" s="18">
        <v>0</v>
      </c>
      <c r="DL497" s="18">
        <v>1</v>
      </c>
      <c r="DM497" s="18" t="s">
        <v>5127</v>
      </c>
      <c r="DN497" s="18" t="s">
        <v>5172</v>
      </c>
      <c r="DO497" s="18" t="s">
        <v>5143</v>
      </c>
      <c r="DP497" s="18" t="s">
        <v>113</v>
      </c>
      <c r="DS497" s="18">
        <v>0</v>
      </c>
      <c r="DT497" s="18">
        <v>1</v>
      </c>
      <c r="DU497" s="18">
        <v>1</v>
      </c>
      <c r="DV497" s="18" t="s">
        <v>5260</v>
      </c>
      <c r="DX497" s="18" t="s">
        <v>5201</v>
      </c>
      <c r="DY497" s="18" t="s">
        <v>106</v>
      </c>
      <c r="DZ497" s="18" t="s">
        <v>113</v>
      </c>
      <c r="EA497" s="18" t="s">
        <v>5285</v>
      </c>
      <c r="EB497" s="18">
        <v>295000</v>
      </c>
      <c r="EC497" s="18" t="s">
        <v>106</v>
      </c>
      <c r="ED497" s="18" t="s">
        <v>5147</v>
      </c>
      <c r="EE497" s="18" t="s">
        <v>106</v>
      </c>
      <c r="EF497" s="18" t="s">
        <v>113</v>
      </c>
      <c r="EG497" s="18" t="s">
        <v>5603</v>
      </c>
      <c r="EH497" s="18" t="s">
        <v>5203</v>
      </c>
      <c r="EI497" s="18" t="s">
        <v>5204</v>
      </c>
      <c r="EJ497" s="18" t="s">
        <v>5245</v>
      </c>
      <c r="EK497" s="18" t="s">
        <v>113</v>
      </c>
      <c r="EN497" s="18" t="s">
        <v>113</v>
      </c>
      <c r="EO497" s="18" t="s">
        <v>113</v>
      </c>
      <c r="EP497" s="18" t="s">
        <v>113</v>
      </c>
      <c r="EQ497" s="18" t="s">
        <v>113</v>
      </c>
      <c r="ER497" s="18" t="s">
        <v>5206</v>
      </c>
      <c r="ES497" s="18" t="s">
        <v>5153</v>
      </c>
      <c r="ET497" s="18" t="s">
        <v>5154</v>
      </c>
      <c r="EU497" s="18" t="s">
        <v>5155</v>
      </c>
      <c r="EV497" s="18" t="s">
        <v>6655</v>
      </c>
      <c r="EW497" s="18" t="s">
        <v>6577</v>
      </c>
      <c r="EX497" s="18" t="s">
        <v>5158</v>
      </c>
      <c r="EY497" s="18" t="s">
        <v>5522</v>
      </c>
      <c r="EZ497" s="18" t="s">
        <v>5160</v>
      </c>
      <c r="FA497" s="18" t="s">
        <v>144</v>
      </c>
      <c r="FB497" s="18" t="s">
        <v>5161</v>
      </c>
    </row>
    <row r="498" spans="1:158" ht="10.5" customHeight="1" x14ac:dyDescent="0.2">
      <c r="A498" s="18">
        <v>41</v>
      </c>
      <c r="B498" s="18" t="s">
        <v>4928</v>
      </c>
      <c r="C498" s="18" t="s">
        <v>4927</v>
      </c>
      <c r="D498" s="18">
        <v>8051</v>
      </c>
      <c r="E498" s="16" t="s">
        <v>6656</v>
      </c>
      <c r="F498" s="18" t="s">
        <v>4927</v>
      </c>
      <c r="G498" s="18" t="s">
        <v>113</v>
      </c>
      <c r="H498" s="15" t="s">
        <v>111</v>
      </c>
      <c r="AT498" s="17">
        <f>(365*D498*0.7)/1000</f>
        <v>2057.0304999999998</v>
      </c>
      <c r="AU498" s="17">
        <f t="shared" si="25"/>
        <v>0</v>
      </c>
      <c r="BW498" s="15">
        <f t="shared" si="26"/>
        <v>0</v>
      </c>
    </row>
    <row r="499" spans="1:158" ht="10.5" customHeight="1" x14ac:dyDescent="0.2">
      <c r="A499" s="18">
        <v>41</v>
      </c>
      <c r="B499" s="18" t="s">
        <v>4937</v>
      </c>
      <c r="C499" s="18" t="s">
        <v>4936</v>
      </c>
      <c r="D499" s="18">
        <v>3842</v>
      </c>
      <c r="E499" s="16" t="s">
        <v>6656</v>
      </c>
      <c r="F499" s="18" t="s">
        <v>4936</v>
      </c>
      <c r="G499" s="18" t="s">
        <v>113</v>
      </c>
      <c r="H499" s="15" t="s">
        <v>111</v>
      </c>
      <c r="AT499" s="17">
        <f>(365*D499*0.7)/1000</f>
        <v>981.63099999999986</v>
      </c>
      <c r="AU499" s="17">
        <f t="shared" si="25"/>
        <v>0</v>
      </c>
      <c r="BW499" s="15">
        <f t="shared" si="26"/>
        <v>0</v>
      </c>
    </row>
    <row r="500" spans="1:158" ht="10.5" customHeight="1" x14ac:dyDescent="0.2">
      <c r="A500" s="18">
        <v>41</v>
      </c>
      <c r="B500" s="18" t="s">
        <v>4950</v>
      </c>
      <c r="C500" s="18" t="s">
        <v>4949</v>
      </c>
      <c r="D500" s="18">
        <v>10280</v>
      </c>
      <c r="E500" s="16" t="s">
        <v>6656</v>
      </c>
      <c r="F500" s="18" t="s">
        <v>4949</v>
      </c>
      <c r="G500" s="18" t="s">
        <v>113</v>
      </c>
      <c r="H500" s="15" t="s">
        <v>111</v>
      </c>
      <c r="AT500" s="17">
        <f>(365*D500*0.7)/1000</f>
        <v>2626.54</v>
      </c>
      <c r="AU500" s="17">
        <f t="shared" si="25"/>
        <v>0</v>
      </c>
      <c r="BW500" s="15">
        <f t="shared" si="26"/>
        <v>0</v>
      </c>
    </row>
    <row r="501" spans="1:158" ht="10.5" customHeight="1" x14ac:dyDescent="0.2">
      <c r="A501" s="18">
        <v>41</v>
      </c>
      <c r="B501" s="18" t="s">
        <v>4955</v>
      </c>
      <c r="C501" s="18" t="s">
        <v>4196</v>
      </c>
      <c r="D501" s="18">
        <v>19430</v>
      </c>
      <c r="E501" s="16" t="s">
        <v>6658</v>
      </c>
      <c r="F501" s="18" t="s">
        <v>4196</v>
      </c>
      <c r="G501" s="18" t="s">
        <v>113</v>
      </c>
      <c r="H501" s="15" t="s">
        <v>111</v>
      </c>
      <c r="AT501" s="17">
        <f>(365*D501*0.7)/1000</f>
        <v>4964.3649999999998</v>
      </c>
      <c r="AU501" s="17">
        <f t="shared" si="25"/>
        <v>0</v>
      </c>
      <c r="BW501" s="15">
        <f t="shared" si="26"/>
        <v>0</v>
      </c>
    </row>
    <row r="502" spans="1:158" ht="10.5" customHeight="1" x14ac:dyDescent="0.2">
      <c r="A502" s="18">
        <v>41</v>
      </c>
      <c r="B502" s="18" t="s">
        <v>4962</v>
      </c>
      <c r="C502" s="18" t="s">
        <v>4961</v>
      </c>
      <c r="D502" s="18">
        <v>5851</v>
      </c>
      <c r="E502" s="16" t="s">
        <v>6656</v>
      </c>
      <c r="F502" s="18" t="s">
        <v>4961</v>
      </c>
      <c r="G502" s="18" t="s">
        <v>113</v>
      </c>
      <c r="H502" s="15" t="s">
        <v>111</v>
      </c>
      <c r="AT502" s="17">
        <f>(365*D502*0.7)/1000</f>
        <v>1494.9304999999999</v>
      </c>
      <c r="AU502" s="17">
        <f t="shared" si="25"/>
        <v>0</v>
      </c>
      <c r="BW502" s="15">
        <f t="shared" si="26"/>
        <v>0</v>
      </c>
    </row>
    <row r="506" spans="1:158" ht="10.5" customHeight="1" x14ac:dyDescent="0.2">
      <c r="BV506" s="13">
        <f>SUBTOTAL(9,BV25:BV505)</f>
        <v>1033707.5876620003</v>
      </c>
      <c r="BW506" s="13"/>
    </row>
  </sheetData>
  <conditionalFormatting sqref="E1:E1048576">
    <cfRule type="colorScale" priority="2">
      <colorScale>
        <cfvo type="min"/>
        <cfvo type="max"/>
        <color rgb="FFFF7128"/>
        <color rgb="FFFFEF9C"/>
      </colorScale>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Dados Brutos - RSU</vt:lpstr>
      <vt:lpstr>Dados Brutos - Coop. e Associa.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Renan Zakaluk de  Souza</dc:creator>
  <cp:lastModifiedBy>Renan Zakaluk de  Souza</cp:lastModifiedBy>
  <dcterms:created xsi:type="dcterms:W3CDTF">2026-04-24T20:06:18Z</dcterms:created>
  <dcterms:modified xsi:type="dcterms:W3CDTF">2026-04-24T20:29:31Z</dcterms:modified>
</cp:coreProperties>
</file>